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mgotelli/Downloads/"/>
    </mc:Choice>
  </mc:AlternateContent>
  <xr:revisionPtr revIDLastSave="0" documentId="13_ncr:1_{00C8AAD7-CC78-AB41-92A0-2B722814D98F}" xr6:coauthVersionLast="47" xr6:coauthVersionMax="47" xr10:uidLastSave="{00000000-0000-0000-0000-000000000000}"/>
  <bookViews>
    <workbookView xWindow="6100" yWindow="3280" windowWidth="29400" windowHeight="17220" activeTab="1" xr2:uid="{F638E1F4-C546-40BA-8B09-35ECADC1E39F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2" l="1"/>
  <c r="U15" i="2" s="1"/>
  <c r="AG13" i="2"/>
  <c r="AG12" i="2"/>
  <c r="AG11" i="2"/>
  <c r="AG10" i="2"/>
  <c r="AG9" i="2"/>
  <c r="AG8" i="2"/>
  <c r="AG7" i="2"/>
  <c r="AG6" i="2"/>
  <c r="AF6" i="2"/>
  <c r="AF7" i="2"/>
  <c r="AF13" i="2"/>
  <c r="AF12" i="2"/>
  <c r="AF11" i="2"/>
  <c r="AF10" i="2"/>
  <c r="AF9" i="2"/>
  <c r="AF8" i="2"/>
  <c r="AB13" i="2"/>
  <c r="AB12" i="2"/>
  <c r="AB11" i="2"/>
  <c r="AB10" i="2"/>
  <c r="AB9" i="2"/>
  <c r="AB8" i="2"/>
  <c r="AB7" i="2"/>
  <c r="AB6" i="2"/>
  <c r="Z13" i="2"/>
  <c r="Z12" i="2"/>
  <c r="Z11" i="2"/>
  <c r="Z10" i="2"/>
  <c r="Z9" i="2"/>
  <c r="Z8" i="2"/>
  <c r="Z7" i="2"/>
  <c r="Z6" i="2"/>
  <c r="S6" i="2"/>
  <c r="AK6" i="2" s="1"/>
  <c r="C6" i="2"/>
  <c r="B6" i="2" s="1"/>
  <c r="Q9" i="1"/>
  <c r="Q10" i="1" s="1"/>
  <c r="Q11" i="1" s="1"/>
  <c r="Q12" i="1" s="1"/>
  <c r="Q13" i="1" s="1"/>
  <c r="Q14" i="1" s="1"/>
  <c r="Q15" i="1" s="1"/>
  <c r="Q16" i="1" s="1"/>
  <c r="Q8" i="1"/>
  <c r="AG9" i="3"/>
  <c r="AG10" i="3" s="1"/>
  <c r="AG11" i="3" s="1"/>
  <c r="AG12" i="3" s="1"/>
  <c r="AG13" i="3" s="1"/>
  <c r="AG14" i="3" s="1"/>
  <c r="AG15" i="3" s="1"/>
  <c r="AG16" i="3" s="1"/>
  <c r="AG8" i="3"/>
  <c r="AG7" i="3"/>
  <c r="Q8" i="3"/>
  <c r="Q9" i="3" s="1"/>
  <c r="Q10" i="3" s="1"/>
  <c r="Q11" i="3" s="1"/>
  <c r="Q12" i="3" s="1"/>
  <c r="Q13" i="3" s="1"/>
  <c r="Q14" i="3" s="1"/>
  <c r="Q15" i="3" s="1"/>
  <c r="Q7" i="3"/>
  <c r="P7" i="1"/>
  <c r="P8" i="1"/>
  <c r="P9" i="1"/>
  <c r="P10" i="1"/>
  <c r="P11" i="1"/>
  <c r="P12" i="1"/>
  <c r="P13" i="1"/>
  <c r="P14" i="1"/>
  <c r="P15" i="1"/>
  <c r="P6" i="1"/>
  <c r="Q7" i="1" s="1"/>
  <c r="AF15" i="3"/>
  <c r="AF14" i="3"/>
  <c r="AF13" i="3"/>
  <c r="AF12" i="3"/>
  <c r="AF11" i="3"/>
  <c r="AF10" i="3"/>
  <c r="AF9" i="3"/>
  <c r="AF8" i="3"/>
  <c r="AF7" i="3"/>
  <c r="AF6" i="3"/>
  <c r="P14" i="3"/>
  <c r="P13" i="3"/>
  <c r="P12" i="3"/>
  <c r="P11" i="3"/>
  <c r="P10" i="3"/>
  <c r="P9" i="3"/>
  <c r="P8" i="3"/>
  <c r="P7" i="3"/>
  <c r="P6" i="3"/>
  <c r="U16" i="3"/>
  <c r="W15" i="3"/>
  <c r="X15" i="3" s="1"/>
  <c r="Y15" i="3" s="1"/>
  <c r="Z15" i="3" s="1"/>
  <c r="AA15" i="3" s="1"/>
  <c r="W13" i="3"/>
  <c r="W12" i="3"/>
  <c r="W11" i="3"/>
  <c r="W10" i="3"/>
  <c r="W9" i="3"/>
  <c r="W8" i="3"/>
  <c r="W7" i="3"/>
  <c r="W6" i="3"/>
  <c r="G14" i="3"/>
  <c r="G13" i="3"/>
  <c r="G12" i="3"/>
  <c r="G11" i="3"/>
  <c r="G10" i="3"/>
  <c r="G9" i="3"/>
  <c r="G8" i="3"/>
  <c r="G7" i="3"/>
  <c r="G6" i="3"/>
  <c r="E8" i="3"/>
  <c r="E9" i="3" s="1"/>
  <c r="E10" i="3" s="1"/>
  <c r="E11" i="3" s="1"/>
  <c r="E12" i="3" s="1"/>
  <c r="E13" i="3" s="1"/>
  <c r="E14" i="3" s="1"/>
  <c r="E15" i="3" s="1"/>
  <c r="E7" i="3"/>
  <c r="U7" i="2"/>
  <c r="U8" i="2" s="1"/>
  <c r="E7" i="1"/>
  <c r="G6" i="1" s="1"/>
  <c r="L6" i="1" s="1"/>
  <c r="M6" i="1" s="1"/>
  <c r="U6" i="3"/>
  <c r="E6" i="3"/>
  <c r="E7" i="2"/>
  <c r="U9" i="2" l="1"/>
  <c r="U10" i="2" s="1"/>
  <c r="U11" i="2" s="1"/>
  <c r="U12" i="2" s="1"/>
  <c r="U13" i="2" s="1"/>
  <c r="U14" i="2" s="1"/>
  <c r="U18" i="2" s="1"/>
  <c r="W8" i="2"/>
  <c r="G6" i="2"/>
  <c r="J6" i="2" s="1"/>
  <c r="K6" i="2" s="1"/>
  <c r="W6" i="2"/>
  <c r="W11" i="2"/>
  <c r="W9" i="2"/>
  <c r="W12" i="2"/>
  <c r="W10" i="2"/>
  <c r="W13" i="2"/>
  <c r="W14" i="2"/>
  <c r="W7" i="2"/>
  <c r="E8" i="1"/>
  <c r="AB15" i="3"/>
  <c r="AC15" i="3" s="1"/>
  <c r="AD15" i="3"/>
  <c r="AE15" i="3" s="1"/>
  <c r="U7" i="3"/>
  <c r="U8" i="3" s="1"/>
  <c r="U9" i="3" s="1"/>
  <c r="U10" i="3" s="1"/>
  <c r="U11" i="3" s="1"/>
  <c r="U12" i="3" s="1"/>
  <c r="U13" i="3" s="1"/>
  <c r="U14" i="3" s="1"/>
  <c r="U15" i="3" s="1"/>
  <c r="W14" i="3" s="1"/>
  <c r="X6" i="3"/>
  <c r="Y6" i="3" s="1"/>
  <c r="Z6" i="3" s="1"/>
  <c r="AA6" i="3" s="1"/>
  <c r="AB6" i="3"/>
  <c r="AD6" i="3"/>
  <c r="AE6" i="3" s="1"/>
  <c r="AC6" i="3"/>
  <c r="L9" i="3"/>
  <c r="N6" i="3"/>
  <c r="O6" i="3" s="1"/>
  <c r="L6" i="3"/>
  <c r="M6" i="3" s="1"/>
  <c r="H6" i="3"/>
  <c r="I6" i="3" s="1"/>
  <c r="E8" i="2"/>
  <c r="G7" i="2" s="1"/>
  <c r="L7" i="2" s="1"/>
  <c r="H6" i="1"/>
  <c r="I6" i="1" s="1"/>
  <c r="N6" i="1" s="1"/>
  <c r="X11" i="2" l="1"/>
  <c r="AD11" i="2"/>
  <c r="Y11" i="2"/>
  <c r="Y6" i="2"/>
  <c r="AD6" i="2"/>
  <c r="X8" i="2"/>
  <c r="Y8" i="2"/>
  <c r="AD8" i="2"/>
  <c r="X12" i="2"/>
  <c r="AD12" i="2"/>
  <c r="Y12" i="2"/>
  <c r="X9" i="2"/>
  <c r="AE9" i="2" s="1"/>
  <c r="Y9" i="2"/>
  <c r="AD9" i="2"/>
  <c r="X7" i="2"/>
  <c r="Y7" i="2"/>
  <c r="AD7" i="2"/>
  <c r="AC7" i="2"/>
  <c r="X14" i="2"/>
  <c r="AD14" i="2"/>
  <c r="Y14" i="2"/>
  <c r="X13" i="2"/>
  <c r="AD13" i="2"/>
  <c r="Y13" i="2"/>
  <c r="X10" i="2"/>
  <c r="AE10" i="2" s="1"/>
  <c r="Y10" i="2"/>
  <c r="AD10" i="2"/>
  <c r="X6" i="2"/>
  <c r="H7" i="2"/>
  <c r="I7" i="2" s="1"/>
  <c r="J7" i="2"/>
  <c r="K7" i="2" s="1"/>
  <c r="H6" i="2"/>
  <c r="L6" i="2"/>
  <c r="E9" i="2"/>
  <c r="G8" i="2"/>
  <c r="L8" i="2" s="1"/>
  <c r="E9" i="1"/>
  <c r="G8" i="1"/>
  <c r="G7" i="1"/>
  <c r="AC6" i="2"/>
  <c r="AA7" i="2"/>
  <c r="N9" i="3"/>
  <c r="O9" i="3" s="1"/>
  <c r="N7" i="3"/>
  <c r="O7" i="3" s="1"/>
  <c r="H9" i="3"/>
  <c r="I9" i="3" s="1"/>
  <c r="J9" i="3" s="1"/>
  <c r="K9" i="3" s="1"/>
  <c r="N8" i="3"/>
  <c r="O8" i="3" s="1"/>
  <c r="M9" i="3"/>
  <c r="J6" i="3"/>
  <c r="K6" i="3" s="1"/>
  <c r="AC8" i="2"/>
  <c r="AC9" i="2"/>
  <c r="J6" i="1"/>
  <c r="K6" i="1" s="1"/>
  <c r="O6" i="1"/>
  <c r="Z14" i="2" l="1"/>
  <c r="AE12" i="2"/>
  <c r="AE6" i="2"/>
  <c r="AE7" i="2"/>
  <c r="AH7" i="2" s="1"/>
  <c r="AE14" i="2"/>
  <c r="AF14" i="2" s="1"/>
  <c r="AE13" i="2"/>
  <c r="AE11" i="2"/>
  <c r="M7" i="2"/>
  <c r="N7" i="2" s="1"/>
  <c r="AE8" i="2"/>
  <c r="I6" i="2"/>
  <c r="M6" i="2"/>
  <c r="N6" i="2" s="1"/>
  <c r="H8" i="2"/>
  <c r="I8" i="2" s="1"/>
  <c r="E10" i="2"/>
  <c r="G9" i="2"/>
  <c r="AA6" i="2"/>
  <c r="H7" i="1"/>
  <c r="I7" i="1" s="1"/>
  <c r="L7" i="1"/>
  <c r="M7" i="1" s="1"/>
  <c r="N7" i="1" s="1"/>
  <c r="E10" i="1"/>
  <c r="G9" i="1"/>
  <c r="O7" i="2"/>
  <c r="P7" i="2" s="1"/>
  <c r="H7" i="3"/>
  <c r="I7" i="3" s="1"/>
  <c r="J7" i="3" s="1"/>
  <c r="K7" i="3" s="1"/>
  <c r="H8" i="3"/>
  <c r="I8" i="3" s="1"/>
  <c r="J8" i="3" s="1"/>
  <c r="K8" i="3" s="1"/>
  <c r="L7" i="3"/>
  <c r="M7" i="3" s="1"/>
  <c r="L8" i="3"/>
  <c r="M8" i="3" s="1"/>
  <c r="X7" i="3"/>
  <c r="Y7" i="3" s="1"/>
  <c r="Z7" i="3" s="1"/>
  <c r="AA7" i="3" s="1"/>
  <c r="AB7" i="3"/>
  <c r="AC7" i="3" s="1"/>
  <c r="AD7" i="3"/>
  <c r="AE7" i="3" s="1"/>
  <c r="N10" i="3"/>
  <c r="O10" i="3" s="1"/>
  <c r="L10" i="3"/>
  <c r="M10" i="3" s="1"/>
  <c r="H10" i="3"/>
  <c r="I10" i="3" s="1"/>
  <c r="J10" i="3" s="1"/>
  <c r="K10" i="3" s="1"/>
  <c r="AA8" i="2"/>
  <c r="AA9" i="2"/>
  <c r="AC10" i="2"/>
  <c r="J8" i="2"/>
  <c r="K8" i="2" s="1"/>
  <c r="M8" i="2"/>
  <c r="N8" i="2" s="1"/>
  <c r="H8" i="1"/>
  <c r="I8" i="1" s="1"/>
  <c r="L8" i="1"/>
  <c r="M8" i="1" s="1"/>
  <c r="O6" i="2" l="1"/>
  <c r="P6" i="2" s="1"/>
  <c r="Q7" i="2" s="1"/>
  <c r="C7" i="2" s="1"/>
  <c r="B7" i="2" s="1"/>
  <c r="J9" i="2"/>
  <c r="K9" i="2" s="1"/>
  <c r="L9" i="2"/>
  <c r="H9" i="2"/>
  <c r="E11" i="2"/>
  <c r="G10" i="2"/>
  <c r="E11" i="1"/>
  <c r="G10" i="1"/>
  <c r="O7" i="1"/>
  <c r="J7" i="1"/>
  <c r="K7" i="1" s="1"/>
  <c r="O8" i="2"/>
  <c r="P8" i="2" s="1"/>
  <c r="X8" i="3"/>
  <c r="Y8" i="3" s="1"/>
  <c r="Z8" i="3" s="1"/>
  <c r="AA8" i="3" s="1"/>
  <c r="AD8" i="3"/>
  <c r="AE8" i="3" s="1"/>
  <c r="AB8" i="3"/>
  <c r="AC8" i="3" s="1"/>
  <c r="N11" i="3"/>
  <c r="O11" i="3" s="1"/>
  <c r="L11" i="3"/>
  <c r="M11" i="3" s="1"/>
  <c r="H11" i="3"/>
  <c r="I11" i="3" s="1"/>
  <c r="J11" i="3" s="1"/>
  <c r="K11" i="3" s="1"/>
  <c r="AA10" i="2"/>
  <c r="AH8" i="2"/>
  <c r="AH9" i="2"/>
  <c r="N8" i="1"/>
  <c r="H9" i="1"/>
  <c r="I9" i="1" s="1"/>
  <c r="L9" i="1"/>
  <c r="M9" i="1" s="1"/>
  <c r="J8" i="1"/>
  <c r="K8" i="1" s="1"/>
  <c r="O8" i="1"/>
  <c r="Q8" i="2" l="1"/>
  <c r="C8" i="2" s="1"/>
  <c r="B8" i="2" s="1"/>
  <c r="L10" i="2"/>
  <c r="J10" i="2"/>
  <c r="K10" i="2" s="1"/>
  <c r="H10" i="2"/>
  <c r="I9" i="2"/>
  <c r="M9" i="2"/>
  <c r="AH6" i="2"/>
  <c r="AI7" i="2" s="1"/>
  <c r="E12" i="1"/>
  <c r="G11" i="1"/>
  <c r="AC11" i="2"/>
  <c r="AD9" i="3"/>
  <c r="AE9" i="3" s="1"/>
  <c r="AB9" i="3"/>
  <c r="AC9" i="3" s="1"/>
  <c r="X9" i="3"/>
  <c r="Y9" i="3" s="1"/>
  <c r="Z9" i="3" s="1"/>
  <c r="AA9" i="3" s="1"/>
  <c r="N12" i="3"/>
  <c r="O12" i="3" s="1"/>
  <c r="L12" i="3"/>
  <c r="H12" i="3"/>
  <c r="I12" i="3" s="1"/>
  <c r="J12" i="3" s="1"/>
  <c r="K12" i="3" s="1"/>
  <c r="M12" i="3"/>
  <c r="AH10" i="2"/>
  <c r="N9" i="1"/>
  <c r="H10" i="1"/>
  <c r="I10" i="1" s="1"/>
  <c r="L10" i="1"/>
  <c r="M10" i="1" s="1"/>
  <c r="O9" i="1"/>
  <c r="J9" i="1"/>
  <c r="K9" i="1" s="1"/>
  <c r="Q9" i="2" l="1"/>
  <c r="C9" i="2" s="1"/>
  <c r="B9" i="2" s="1"/>
  <c r="N9" i="2"/>
  <c r="O9" i="2"/>
  <c r="P9" i="2" s="1"/>
  <c r="Q10" i="2" s="1"/>
  <c r="C10" i="2" s="1"/>
  <c r="B10" i="2" s="1"/>
  <c r="M10" i="2"/>
  <c r="I10" i="2"/>
  <c r="S7" i="2"/>
  <c r="AK7" i="2" s="1"/>
  <c r="AI8" i="2"/>
  <c r="E13" i="1"/>
  <c r="G12" i="1"/>
  <c r="AA11" i="2"/>
  <c r="AC12" i="2"/>
  <c r="X10" i="3"/>
  <c r="Y10" i="3" s="1"/>
  <c r="Z10" i="3" s="1"/>
  <c r="AA10" i="3" s="1"/>
  <c r="AB10" i="3"/>
  <c r="AC10" i="3" s="1"/>
  <c r="AD10" i="3"/>
  <c r="AE10" i="3" s="1"/>
  <c r="N13" i="3"/>
  <c r="O13" i="3" s="1"/>
  <c r="L13" i="3"/>
  <c r="M13" i="3" s="1"/>
  <c r="H13" i="3"/>
  <c r="I13" i="3" s="1"/>
  <c r="J13" i="3" s="1"/>
  <c r="K13" i="3" s="1"/>
  <c r="AH11" i="2"/>
  <c r="AA12" i="2"/>
  <c r="AC13" i="2"/>
  <c r="N10" i="1"/>
  <c r="H11" i="1"/>
  <c r="I11" i="1" s="1"/>
  <c r="L11" i="1"/>
  <c r="M11" i="1" s="1"/>
  <c r="J10" i="1"/>
  <c r="K10" i="1" s="1"/>
  <c r="O10" i="1"/>
  <c r="N10" i="2" l="1"/>
  <c r="O10" i="2"/>
  <c r="P10" i="2" s="1"/>
  <c r="Q11" i="2" s="1"/>
  <c r="C11" i="2"/>
  <c r="B11" i="2" s="1"/>
  <c r="AI9" i="2"/>
  <c r="S8" i="2"/>
  <c r="AK8" i="2" s="1"/>
  <c r="E14" i="1"/>
  <c r="G13" i="1"/>
  <c r="AB11" i="3"/>
  <c r="AC11" i="3" s="1"/>
  <c r="X11" i="3"/>
  <c r="Y11" i="3" s="1"/>
  <c r="Z11" i="3" s="1"/>
  <c r="AA11" i="3" s="1"/>
  <c r="AD11" i="3"/>
  <c r="AE11" i="3" s="1"/>
  <c r="L14" i="3"/>
  <c r="M14" i="3" s="1"/>
  <c r="N14" i="3"/>
  <c r="O14" i="3" s="1"/>
  <c r="H14" i="3"/>
  <c r="I14" i="3" s="1"/>
  <c r="J14" i="3" s="1"/>
  <c r="K14" i="3" s="1"/>
  <c r="AH12" i="2"/>
  <c r="AA13" i="2"/>
  <c r="N11" i="1"/>
  <c r="H12" i="1"/>
  <c r="I12" i="1" s="1"/>
  <c r="L12" i="1"/>
  <c r="M12" i="1" s="1"/>
  <c r="J11" i="1"/>
  <c r="K11" i="1" s="1"/>
  <c r="O11" i="1"/>
  <c r="S9" i="2" l="1"/>
  <c r="AK9" i="2" s="1"/>
  <c r="AI10" i="2"/>
  <c r="E15" i="1"/>
  <c r="G14" i="1"/>
  <c r="AA14" i="2"/>
  <c r="N12" i="1"/>
  <c r="X12" i="3"/>
  <c r="Y12" i="3" s="1"/>
  <c r="Z12" i="3" s="1"/>
  <c r="AA12" i="3" s="1"/>
  <c r="AD12" i="3"/>
  <c r="AE12" i="3" s="1"/>
  <c r="AB12" i="3"/>
  <c r="AC12" i="3" s="1"/>
  <c r="AH13" i="2"/>
  <c r="H13" i="1"/>
  <c r="I13" i="1" s="1"/>
  <c r="L13" i="1"/>
  <c r="M13" i="1" s="1"/>
  <c r="J12" i="1"/>
  <c r="K12" i="1" s="1"/>
  <c r="O12" i="1"/>
  <c r="AG14" i="2" l="1"/>
  <c r="AB14" i="2"/>
  <c r="AC14" i="2" s="1"/>
  <c r="AI11" i="2"/>
  <c r="S10" i="2"/>
  <c r="AK10" i="2" s="1"/>
  <c r="E16" i="1"/>
  <c r="G15" i="1"/>
  <c r="AB13" i="3"/>
  <c r="AC13" i="3" s="1"/>
  <c r="AD13" i="3"/>
  <c r="AE13" i="3" s="1"/>
  <c r="X13" i="3"/>
  <c r="Y13" i="3" s="1"/>
  <c r="Z13" i="3" s="1"/>
  <c r="AA13" i="3" s="1"/>
  <c r="N13" i="1"/>
  <c r="H14" i="1"/>
  <c r="I14" i="1" s="1"/>
  <c r="L14" i="1"/>
  <c r="M14" i="1" s="1"/>
  <c r="J13" i="1"/>
  <c r="K13" i="1" s="1"/>
  <c r="O13" i="1"/>
  <c r="AH14" i="2" l="1"/>
  <c r="S11" i="2"/>
  <c r="AK11" i="2" s="1"/>
  <c r="AI12" i="2"/>
  <c r="AD14" i="3"/>
  <c r="AE14" i="3" s="1"/>
  <c r="AB14" i="3"/>
  <c r="AC14" i="3" s="1"/>
  <c r="X14" i="3"/>
  <c r="Y14" i="3" s="1"/>
  <c r="Z14" i="3" s="1"/>
  <c r="AA14" i="3" s="1"/>
  <c r="N14" i="1"/>
  <c r="H15" i="1"/>
  <c r="I15" i="1" s="1"/>
  <c r="L15" i="1"/>
  <c r="M15" i="1" s="1"/>
  <c r="J14" i="1"/>
  <c r="K14" i="1" s="1"/>
  <c r="O14" i="1"/>
  <c r="AI13" i="2" l="1"/>
  <c r="S12" i="2"/>
  <c r="AK12" i="2" s="1"/>
  <c r="N15" i="1"/>
  <c r="J15" i="1"/>
  <c r="K15" i="1" s="1"/>
  <c r="O15" i="1"/>
  <c r="AI14" i="2" l="1"/>
  <c r="S13" i="2"/>
  <c r="AK13" i="2" s="1"/>
  <c r="E12" i="2"/>
  <c r="E13" i="2" l="1"/>
  <c r="G12" i="2"/>
  <c r="G11" i="2"/>
  <c r="H11" i="2" s="1"/>
  <c r="S14" i="2"/>
  <c r="AK14" i="2" s="1"/>
  <c r="AI15" i="2"/>
  <c r="I11" i="2"/>
  <c r="E14" i="2"/>
  <c r="L11" i="2"/>
  <c r="M11" i="2" s="1"/>
  <c r="J11" i="2" l="1"/>
  <c r="K11" i="2" s="1"/>
  <c r="G13" i="2"/>
  <c r="S15" i="2"/>
  <c r="AK15" i="2" s="1"/>
  <c r="O11" i="2"/>
  <c r="P11" i="2" s="1"/>
  <c r="Q12" i="2" s="1"/>
  <c r="N11" i="2"/>
  <c r="L12" i="2"/>
  <c r="J12" i="2"/>
  <c r="K12" i="2" s="1"/>
  <c r="H12" i="2"/>
  <c r="E15" i="2"/>
  <c r="J13" i="2"/>
  <c r="K13" i="2" s="1"/>
  <c r="H13" i="2"/>
  <c r="L13" i="2"/>
  <c r="E16" i="2" l="1"/>
  <c r="G15" i="2"/>
  <c r="G14" i="2"/>
  <c r="J14" i="2" s="1"/>
  <c r="K14" i="2" s="1"/>
  <c r="C12" i="2"/>
  <c r="B12" i="2" s="1"/>
  <c r="S16" i="2"/>
  <c r="AK16" i="2" s="1"/>
  <c r="P12" i="2"/>
  <c r="Q13" i="2" s="1"/>
  <c r="E17" i="2"/>
  <c r="I13" i="2"/>
  <c r="M13" i="2"/>
  <c r="I12" i="2"/>
  <c r="M12" i="2"/>
  <c r="O12" i="2" s="1"/>
  <c r="L15" i="2"/>
  <c r="H15" i="2"/>
  <c r="J15" i="2"/>
  <c r="K15" i="2" s="1"/>
  <c r="L14" i="2"/>
  <c r="H14" i="2" l="1"/>
  <c r="I14" i="2" s="1"/>
  <c r="O13" i="2"/>
  <c r="P13" i="2" s="1"/>
  <c r="G16" i="2"/>
  <c r="L16" i="2" s="1"/>
  <c r="Q14" i="2"/>
  <c r="C13" i="2"/>
  <c r="B13" i="2" s="1"/>
  <c r="N13" i="2"/>
  <c r="AI18" i="2"/>
  <c r="S18" i="2" s="1"/>
  <c r="AK18" i="2" s="1"/>
  <c r="S17" i="2"/>
  <c r="AK17" i="2" s="1"/>
  <c r="N12" i="2"/>
  <c r="E18" i="2"/>
  <c r="G17" i="2" s="1"/>
  <c r="H16" i="2"/>
  <c r="J16" i="2"/>
  <c r="K16" i="2" s="1"/>
  <c r="I15" i="2"/>
  <c r="M15" i="2"/>
  <c r="M14" i="2"/>
  <c r="N14" i="2" l="1"/>
  <c r="O14" i="2"/>
  <c r="P14" i="2" s="1"/>
  <c r="Q15" i="2"/>
  <c r="C14" i="2"/>
  <c r="B14" i="2" s="1"/>
  <c r="I16" i="2"/>
  <c r="M16" i="2"/>
  <c r="J17" i="2"/>
  <c r="K17" i="2" s="1"/>
  <c r="H17" i="2"/>
  <c r="L17" i="2"/>
  <c r="O15" i="2"/>
  <c r="P15" i="2" s="1"/>
  <c r="N15" i="2"/>
  <c r="Q16" i="2" l="1"/>
  <c r="C15" i="2"/>
  <c r="B15" i="2" s="1"/>
  <c r="M17" i="2"/>
  <c r="I17" i="2"/>
  <c r="N16" i="2"/>
  <c r="O16" i="2"/>
  <c r="P16" i="2" s="1"/>
  <c r="Q17" i="2" l="1"/>
  <c r="C16" i="2"/>
  <c r="B16" i="2" s="1"/>
  <c r="N17" i="2"/>
  <c r="O17" i="2"/>
  <c r="P17" i="2" s="1"/>
  <c r="Q18" i="2" l="1"/>
  <c r="C18" i="2" s="1"/>
  <c r="B18" i="2" s="1"/>
  <c r="C17" i="2"/>
  <c r="B17" i="2" s="1"/>
</calcChain>
</file>

<file path=xl/sharedStrings.xml><?xml version="1.0" encoding="utf-8"?>
<sst xmlns="http://schemas.openxmlformats.org/spreadsheetml/2006/main" count="135" uniqueCount="38">
  <si>
    <t>Section</t>
  </si>
  <si>
    <t>dy (m)</t>
  </si>
  <si>
    <t>y_med (m)</t>
  </si>
  <si>
    <t>v (m/s)</t>
  </si>
  <si>
    <t>Fr</t>
  </si>
  <si>
    <t>1-Fr^2</t>
  </si>
  <si>
    <t>R (m)</t>
  </si>
  <si>
    <t>S_0-S_f</t>
  </si>
  <si>
    <t>dx (m)</t>
  </si>
  <si>
    <t>x (m)</t>
  </si>
  <si>
    <t>y_i (m)</t>
  </si>
  <si>
    <t>S0</t>
  </si>
  <si>
    <t>n</t>
  </si>
  <si>
    <t>Q</t>
  </si>
  <si>
    <t>b</t>
  </si>
  <si>
    <t>A (m2)</t>
  </si>
  <si>
    <t>P (m)</t>
  </si>
  <si>
    <t>S_f</t>
  </si>
  <si>
    <t>hn</t>
  </si>
  <si>
    <t>hc</t>
  </si>
  <si>
    <t>S1</t>
  </si>
  <si>
    <t>S2</t>
  </si>
  <si>
    <t>H/V</t>
  </si>
  <si>
    <t>hn1</t>
  </si>
  <si>
    <t>hn2</t>
  </si>
  <si>
    <t>Downstream from B</t>
  </si>
  <si>
    <t>Upstream from B</t>
  </si>
  <si>
    <t>Upstream from Gate</t>
  </si>
  <si>
    <t>Downstream from Gate</t>
  </si>
  <si>
    <t>C</t>
  </si>
  <si>
    <t>y1</t>
  </si>
  <si>
    <t>yc</t>
  </si>
  <si>
    <t>yn</t>
  </si>
  <si>
    <t>y2</t>
  </si>
  <si>
    <t>sign</t>
  </si>
  <si>
    <t>Parameters</t>
  </si>
  <si>
    <t>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</si>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</sst>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0" xfId="0" applyFont="1"/>
    <xf numFmtId="164" fontId="3" fillId="0" borderId="0" xfId="0" applyNumberFormat="1" applyFont="1"/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2"/>
          <c:order val="0"/>
          <c:spPr>
            <a:ln w="190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marker>
            <c:symbol val="none"/>
          </c:marker>
          <c:xVal>
            <c:numRef>
              <c:f>'Example 1'!$Q$6:$Q$16</c:f>
              <c:numCache>
                <c:formatCode>0.00</c:formatCode>
                <c:ptCount val="11"/>
                <c:pt idx="0" formatCode="General">
                  <c:v>0</c:v>
                </c:pt>
                <c:pt idx="1">
                  <c:v>-305.04255925733105</c:v>
                </c:pt>
                <c:pt idx="2">
                  <c:v>-619.0424509638035</c:v>
                </c:pt>
                <c:pt idx="3">
                  <c:v>-944.57633058992587</c:v>
                </c:pt>
                <c:pt idx="4">
                  <c:v>-1285.4063908759285</c:v>
                </c:pt>
                <c:pt idx="5">
                  <c:v>-1647.3132326073903</c:v>
                </c:pt>
                <c:pt idx="6">
                  <c:v>-2039.8071577810404</c:v>
                </c:pt>
                <c:pt idx="7">
                  <c:v>-2480.122881213088</c:v>
                </c:pt>
                <c:pt idx="8">
                  <c:v>-3004.4749677410368</c:v>
                </c:pt>
                <c:pt idx="9">
                  <c:v>-3711.4231715129686</c:v>
                </c:pt>
                <c:pt idx="10">
                  <c:v>-5703.4582283335649</c:v>
                </c:pt>
              </c:numCache>
            </c:numRef>
          </c:xVal>
          <c:yVal>
            <c:numRef>
              <c:f>'Example 1'!$E$6:$E$16</c:f>
              <c:numCache>
                <c:formatCode>0.00</c:formatCode>
                <c:ptCount val="11"/>
                <c:pt idx="0">
                  <c:v>5</c:v>
                </c:pt>
                <c:pt idx="1">
                  <c:v>4.75</c:v>
                </c:pt>
                <c:pt idx="2">
                  <c:v>4.5</c:v>
                </c:pt>
                <c:pt idx="3">
                  <c:v>4.25</c:v>
                </c:pt>
                <c:pt idx="4">
                  <c:v>4</c:v>
                </c:pt>
                <c:pt idx="5">
                  <c:v>3.75</c:v>
                </c:pt>
                <c:pt idx="6">
                  <c:v>3.5</c:v>
                </c:pt>
                <c:pt idx="7">
                  <c:v>3.25</c:v>
                </c:pt>
                <c:pt idx="8">
                  <c:v>3</c:v>
                </c:pt>
                <c:pt idx="9">
                  <c:v>2.75</c:v>
                </c:pt>
                <c:pt idx="10">
                  <c:v>2.44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8DE-4E80-8A71-2AE425D39EC5}"/>
            </c:ext>
          </c:extLst>
        </c:ser>
        <c:ser>
          <c:idx val="3"/>
          <c:order val="1"/>
          <c:spPr>
            <a:ln w="190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  <c:marker>
            <c:symbol val="none"/>
          </c:marker>
          <c:xVal>
            <c:numRef>
              <c:f>'Example 1'!$Q$6:$Q$16</c:f>
              <c:numCache>
                <c:formatCode>0.00</c:formatCode>
                <c:ptCount val="11"/>
                <c:pt idx="0" formatCode="General">
                  <c:v>0</c:v>
                </c:pt>
                <c:pt idx="1">
                  <c:v>-305.04255925733105</c:v>
                </c:pt>
                <c:pt idx="2">
                  <c:v>-619.0424509638035</c:v>
                </c:pt>
                <c:pt idx="3">
                  <c:v>-944.57633058992587</c:v>
                </c:pt>
                <c:pt idx="4">
                  <c:v>-1285.4063908759285</c:v>
                </c:pt>
                <c:pt idx="5">
                  <c:v>-1647.3132326073903</c:v>
                </c:pt>
                <c:pt idx="6">
                  <c:v>-2039.8071577810404</c:v>
                </c:pt>
                <c:pt idx="7">
                  <c:v>-2480.122881213088</c:v>
                </c:pt>
                <c:pt idx="8">
                  <c:v>-3004.4749677410368</c:v>
                </c:pt>
                <c:pt idx="9">
                  <c:v>-3711.4231715129686</c:v>
                </c:pt>
                <c:pt idx="10">
                  <c:v>-5703.4582283335649</c:v>
                </c:pt>
              </c:numCache>
            </c:numRef>
          </c:xVal>
          <c:yVal>
            <c:numRef>
              <c:f>'Example 1'!$AA$6:$AA$16</c:f>
              <c:numCache>
                <c:formatCode>General</c:formatCode>
                <c:ptCount val="11"/>
                <c:pt idx="0">
                  <c:v>2.44</c:v>
                </c:pt>
                <c:pt idx="1">
                  <c:v>2.44</c:v>
                </c:pt>
                <c:pt idx="2">
                  <c:v>2.44</c:v>
                </c:pt>
                <c:pt idx="3">
                  <c:v>2.44</c:v>
                </c:pt>
                <c:pt idx="4">
                  <c:v>2.44</c:v>
                </c:pt>
                <c:pt idx="5">
                  <c:v>2.44</c:v>
                </c:pt>
                <c:pt idx="6">
                  <c:v>2.44</c:v>
                </c:pt>
                <c:pt idx="7">
                  <c:v>2.44</c:v>
                </c:pt>
                <c:pt idx="8">
                  <c:v>2.44</c:v>
                </c:pt>
                <c:pt idx="9">
                  <c:v>2.44</c:v>
                </c:pt>
                <c:pt idx="10">
                  <c:v>2.44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8DE-4E80-8A71-2AE425D39EC5}"/>
            </c:ext>
          </c:extLst>
        </c:ser>
        <c:ser>
          <c:idx val="1"/>
          <c:order val="2"/>
          <c:spPr>
            <a:ln w="190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none"/>
          </c:marker>
          <c:xVal>
            <c:numRef>
              <c:f>'Example 1'!$Q$6:$Q$16</c:f>
              <c:numCache>
                <c:formatCode>0.00</c:formatCode>
                <c:ptCount val="11"/>
                <c:pt idx="0" formatCode="General">
                  <c:v>0</c:v>
                </c:pt>
                <c:pt idx="1">
                  <c:v>-305.04255925733105</c:v>
                </c:pt>
                <c:pt idx="2">
                  <c:v>-619.0424509638035</c:v>
                </c:pt>
                <c:pt idx="3">
                  <c:v>-944.57633058992587</c:v>
                </c:pt>
                <c:pt idx="4">
                  <c:v>-1285.4063908759285</c:v>
                </c:pt>
                <c:pt idx="5">
                  <c:v>-1647.3132326073903</c:v>
                </c:pt>
                <c:pt idx="6">
                  <c:v>-2039.8071577810404</c:v>
                </c:pt>
                <c:pt idx="7">
                  <c:v>-2480.122881213088</c:v>
                </c:pt>
                <c:pt idx="8">
                  <c:v>-3004.4749677410368</c:v>
                </c:pt>
                <c:pt idx="9">
                  <c:v>-3711.4231715129686</c:v>
                </c:pt>
                <c:pt idx="10">
                  <c:v>-5703.4582283335649</c:v>
                </c:pt>
              </c:numCache>
            </c:numRef>
          </c:xVal>
          <c:yVal>
            <c:numRef>
              <c:f>'Example 1'!$AB$6:$AB$16</c:f>
              <c:numCache>
                <c:formatCode>General</c:formatCode>
                <c:ptCount val="11"/>
                <c:pt idx="0">
                  <c:v>1.04</c:v>
                </c:pt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1.04</c:v>
                </c:pt>
                <c:pt idx="5">
                  <c:v>1.04</c:v>
                </c:pt>
                <c:pt idx="6">
                  <c:v>1.04</c:v>
                </c:pt>
                <c:pt idx="7">
                  <c:v>1.04</c:v>
                </c:pt>
                <c:pt idx="8">
                  <c:v>1.04</c:v>
                </c:pt>
                <c:pt idx="9">
                  <c:v>1.04</c:v>
                </c:pt>
                <c:pt idx="10">
                  <c:v>1.04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8DE-4E80-8A71-2AE425D3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261183"/>
        <c:axId val="648262143"/>
      </c:scatterChart>
      <c:valAx>
        <c:axId val="648261183"/>
        <c:scaling>
          <c:orientation val="minMax"/>
          <c:max val="1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8262143"/>
        <c:crosses val="autoZero"/>
        <c:crossBetween val="midCat"/>
      </c:valAx>
      <c:valAx>
        <c:axId val="648262143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8261183"/>
        <c:crossesAt val="-6000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'Example 2'!$Q$6:$Q$18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-0.12137500758914978</c:v>
                </c:pt>
                <c:pt idx="2">
                  <c:v>-0.50375899276851943</c:v>
                </c:pt>
                <c:pt idx="3">
                  <c:v>-1.1725193239924745</c:v>
                </c:pt>
                <c:pt idx="4">
                  <c:v>-2.1564769451664141</c:v>
                </c:pt>
                <c:pt idx="5">
                  <c:v>-3.4885687177782154</c:v>
                </c:pt>
                <c:pt idx="6">
                  <c:v>-5.2066765772221295</c:v>
                </c:pt>
                <c:pt idx="7">
                  <c:v>-7.354676589230432</c:v>
                </c:pt>
                <c:pt idx="8">
                  <c:v>-9.9837818053777596</c:v>
                </c:pt>
                <c:pt idx="9">
                  <c:v>-13.154283508797125</c:v>
                </c:pt>
                <c:pt idx="10">
                  <c:v>-39.586968832120391</c:v>
                </c:pt>
                <c:pt idx="11">
                  <c:v>-100.16171033945318</c:v>
                </c:pt>
                <c:pt idx="12">
                  <c:v>-149.39789647445542</c:v>
                </c:pt>
              </c:numCache>
            </c:numRef>
          </c:xVal>
          <c:yVal>
            <c:numRef>
              <c:f>'Example 2'!$B$6:$B$18</c:f>
              <c:numCache>
                <c:formatCode>0.00000</c:formatCode>
                <c:ptCount val="13"/>
                <c:pt idx="0">
                  <c:v>0.87860000000000005</c:v>
                </c:pt>
                <c:pt idx="1">
                  <c:v>0.88872137500758919</c:v>
                </c:pt>
                <c:pt idx="2">
                  <c:v>0.89910375899276862</c:v>
                </c:pt>
                <c:pt idx="3">
                  <c:v>0.9097725193239925</c:v>
                </c:pt>
                <c:pt idx="4">
                  <c:v>0.92075647694516649</c:v>
                </c:pt>
                <c:pt idx="5">
                  <c:v>0.93208856871777834</c:v>
                </c:pt>
                <c:pt idx="6">
                  <c:v>0.94380667657722228</c:v>
                </c:pt>
                <c:pt idx="7">
                  <c:v>0.9559546765892305</c:v>
                </c:pt>
                <c:pt idx="8">
                  <c:v>0.96858378180537785</c:v>
                </c:pt>
                <c:pt idx="9">
                  <c:v>0.98175428350879723</c:v>
                </c:pt>
                <c:pt idx="10">
                  <c:v>1.0581869688321206</c:v>
                </c:pt>
                <c:pt idx="11">
                  <c:v>1.1687617103394534</c:v>
                </c:pt>
                <c:pt idx="12">
                  <c:v>1.2379978964744556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80-1243-BB84-291BA57FB054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'Example 2'!$Q$6:$Q$18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-0.12137500758914978</c:v>
                </c:pt>
                <c:pt idx="2">
                  <c:v>-0.50375899276851943</c:v>
                </c:pt>
                <c:pt idx="3">
                  <c:v>-1.1725193239924745</c:v>
                </c:pt>
                <c:pt idx="4">
                  <c:v>-2.1564769451664141</c:v>
                </c:pt>
                <c:pt idx="5">
                  <c:v>-3.4885687177782154</c:v>
                </c:pt>
                <c:pt idx="6">
                  <c:v>-5.2066765772221295</c:v>
                </c:pt>
                <c:pt idx="7">
                  <c:v>-7.354676589230432</c:v>
                </c:pt>
                <c:pt idx="8">
                  <c:v>-9.9837818053777596</c:v>
                </c:pt>
                <c:pt idx="9">
                  <c:v>-13.154283508797125</c:v>
                </c:pt>
                <c:pt idx="10">
                  <c:v>-39.586968832120391</c:v>
                </c:pt>
                <c:pt idx="11">
                  <c:v>-100.16171033945318</c:v>
                </c:pt>
                <c:pt idx="12">
                  <c:v>-149.39789647445542</c:v>
                </c:pt>
              </c:numCache>
            </c:numRef>
          </c:xVal>
          <c:yVal>
            <c:numRef>
              <c:f>'Example 2'!$C$6:$C$18</c:f>
              <c:numCache>
                <c:formatCode>General</c:formatCode>
                <c:ptCount val="13"/>
                <c:pt idx="0">
                  <c:v>0</c:v>
                </c:pt>
                <c:pt idx="1">
                  <c:v>1.2137500758914978E-4</c:v>
                </c:pt>
                <c:pt idx="2">
                  <c:v>5.0375899276851939E-4</c:v>
                </c:pt>
                <c:pt idx="3">
                  <c:v>1.1725193239924745E-3</c:v>
                </c:pt>
                <c:pt idx="4">
                  <c:v>2.1564769451664139E-3</c:v>
                </c:pt>
                <c:pt idx="5">
                  <c:v>3.4885687177782154E-3</c:v>
                </c:pt>
                <c:pt idx="6">
                  <c:v>5.2066765772221298E-3</c:v>
                </c:pt>
                <c:pt idx="7">
                  <c:v>7.3546765892304319E-3</c:v>
                </c:pt>
                <c:pt idx="8">
                  <c:v>9.9837818053777599E-3</c:v>
                </c:pt>
                <c:pt idx="9">
                  <c:v>1.3154283508797125E-2</c:v>
                </c:pt>
                <c:pt idx="10">
                  <c:v>3.9586968832120394E-2</c:v>
                </c:pt>
                <c:pt idx="11">
                  <c:v>0.10016171033945317</c:v>
                </c:pt>
                <c:pt idx="12">
                  <c:v>0.14939789647445542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80-1243-BB84-291BA57F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825647"/>
        <c:axId val="656826607"/>
      </c:scatterChart>
      <c:valAx>
        <c:axId val="656825647"/>
        <c:scaling>
          <c:orientation val="minMax"/>
          <c:min val="-15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826607"/>
        <c:crossesAt val="0"/>
        <c:crossBetween val="midCat"/>
      </c:valAx>
      <c:valAx>
        <c:axId val="656826607"/>
        <c:scaling>
          <c:orientation val="minMax"/>
        </c:scaling>
        <c:delete val="0"/>
        <c:axPos val="r"/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825647"/>
        <c:crosses val="max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'Example 2'!$AI$6:$AI$18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1.7972899620928261E-2</c:v>
                </c:pt>
                <c:pt idx="2">
                  <c:v>7.3802522304491303E-2</c:v>
                </c:pt>
                <c:pt idx="3">
                  <c:v>0.31053468410162088</c:v>
                </c:pt>
                <c:pt idx="4">
                  <c:v>0.73932016764554964</c:v>
                </c:pt>
                <c:pt idx="5">
                  <c:v>2.8808110098934945</c:v>
                </c:pt>
                <c:pt idx="6">
                  <c:v>7.3666904284236718</c:v>
                </c:pt>
                <c:pt idx="7">
                  <c:v>16.213720489270575</c:v>
                </c:pt>
                <c:pt idx="8">
                  <c:v>35.54845588606819</c:v>
                </c:pt>
                <c:pt idx="9">
                  <c:v>99.986992020505056</c:v>
                </c:pt>
                <c:pt idx="12">
                  <c:v>0</c:v>
                </c:pt>
              </c:numCache>
            </c:numRef>
          </c:xVal>
          <c:yVal>
            <c:numRef>
              <c:f>'Example 2'!$AK$6:$AK$18</c:f>
              <c:numCache>
                <c:formatCode>0.00000</c:formatCode>
                <c:ptCount val="13"/>
                <c:pt idx="0">
                  <c:v>0.87860000000000005</c:v>
                </c:pt>
                <c:pt idx="1">
                  <c:v>0.86833040650568616</c:v>
                </c:pt>
                <c:pt idx="2">
                  <c:v>0.85749296216543269</c:v>
                </c:pt>
                <c:pt idx="3">
                  <c:v>0.83394197973847572</c:v>
                </c:pt>
                <c:pt idx="4">
                  <c:v>0.80751019748531672</c:v>
                </c:pt>
                <c:pt idx="5">
                  <c:v>0.72538783485159752</c:v>
                </c:pt>
                <c:pt idx="6">
                  <c:v>0.60809964357364488</c:v>
                </c:pt>
                <c:pt idx="7">
                  <c:v>0.42539419266094125</c:v>
                </c:pt>
                <c:pt idx="8">
                  <c:v>8.5373161708977019E-2</c:v>
                </c:pt>
                <c:pt idx="9">
                  <c:v>-0.92784488030757606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37-4446-9217-4EB2E3C051C5}"/>
            </c:ext>
          </c:extLst>
        </c:ser>
        <c:ser>
          <c:idx val="0"/>
          <c:order val="1"/>
          <c:spPr>
            <a:ln w="19050"/>
          </c:spPr>
          <c:marker>
            <c:symbol val="none"/>
          </c:marker>
          <c:xVal>
            <c:numRef>
              <c:f>'Example 2'!$AI$6:$AI$18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1.7972899620928261E-2</c:v>
                </c:pt>
                <c:pt idx="2">
                  <c:v>7.3802522304491303E-2</c:v>
                </c:pt>
                <c:pt idx="3">
                  <c:v>0.31053468410162088</c:v>
                </c:pt>
                <c:pt idx="4">
                  <c:v>0.73932016764554964</c:v>
                </c:pt>
                <c:pt idx="5">
                  <c:v>2.8808110098934945</c:v>
                </c:pt>
                <c:pt idx="6">
                  <c:v>7.3666904284236718</c:v>
                </c:pt>
                <c:pt idx="7">
                  <c:v>16.213720489270575</c:v>
                </c:pt>
                <c:pt idx="8">
                  <c:v>35.54845588606819</c:v>
                </c:pt>
                <c:pt idx="9">
                  <c:v>99.986992020505056</c:v>
                </c:pt>
                <c:pt idx="12">
                  <c:v>0</c:v>
                </c:pt>
              </c:numCache>
            </c:numRef>
          </c:xVal>
          <c:yVal>
            <c:numRef>
              <c:f>'Example 2'!$S$6:$S$18</c:f>
              <c:numCache>
                <c:formatCode>General</c:formatCode>
                <c:ptCount val="13"/>
                <c:pt idx="0">
                  <c:v>0</c:v>
                </c:pt>
                <c:pt idx="1">
                  <c:v>-2.6959349431392388E-4</c:v>
                </c:pt>
                <c:pt idx="2">
                  <c:v>-1.1070378345673696E-3</c:v>
                </c:pt>
                <c:pt idx="3">
                  <c:v>-4.6580202615243132E-3</c:v>
                </c:pt>
                <c:pt idx="4">
                  <c:v>-1.1089802514683245E-2</c:v>
                </c:pt>
                <c:pt idx="5">
                  <c:v>-4.3212165148402412E-2</c:v>
                </c:pt>
                <c:pt idx="6">
                  <c:v>-0.11050035642635507</c:v>
                </c:pt>
                <c:pt idx="7">
                  <c:v>-0.24320580733905861</c:v>
                </c:pt>
                <c:pt idx="8">
                  <c:v>-0.5332268382910228</c:v>
                </c:pt>
                <c:pt idx="9">
                  <c:v>-1.4998048803075759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37-4446-9217-4EB2E3C0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825647"/>
        <c:axId val="656826607"/>
      </c:scatterChart>
      <c:valAx>
        <c:axId val="656825647"/>
        <c:scaling>
          <c:orientation val="minMax"/>
          <c:min val="-1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826607"/>
        <c:crossesAt val="-2"/>
        <c:crossBetween val="midCat"/>
      </c:valAx>
      <c:valAx>
        <c:axId val="656826607"/>
        <c:scaling>
          <c:orientation val="minMax"/>
        </c:scaling>
        <c:delete val="0"/>
        <c:axPos val="r"/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825647"/>
        <c:crosses val="max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7"/>
          <c:order val="0"/>
          <c:spPr>
            <a:ln w="19050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'Example 2'!$AI$6:$AI$18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1.7972899620928261E-2</c:v>
                </c:pt>
                <c:pt idx="2">
                  <c:v>7.3802522304491303E-2</c:v>
                </c:pt>
                <c:pt idx="3">
                  <c:v>0.31053468410162088</c:v>
                </c:pt>
                <c:pt idx="4">
                  <c:v>0.73932016764554964</c:v>
                </c:pt>
                <c:pt idx="5">
                  <c:v>2.8808110098934945</c:v>
                </c:pt>
                <c:pt idx="6">
                  <c:v>7.3666904284236718</c:v>
                </c:pt>
                <c:pt idx="7">
                  <c:v>16.213720489270575</c:v>
                </c:pt>
                <c:pt idx="8">
                  <c:v>35.54845588606819</c:v>
                </c:pt>
                <c:pt idx="9">
                  <c:v>99.986992020505056</c:v>
                </c:pt>
                <c:pt idx="12">
                  <c:v>0</c:v>
                </c:pt>
              </c:numCache>
            </c:numRef>
          </c:xVal>
          <c:yVal>
            <c:numRef>
              <c:f>'Example 2'!$S$6:$S$18</c:f>
              <c:numCache>
                <c:formatCode>General</c:formatCode>
                <c:ptCount val="13"/>
                <c:pt idx="0">
                  <c:v>0</c:v>
                </c:pt>
                <c:pt idx="1">
                  <c:v>-2.6959349431392388E-4</c:v>
                </c:pt>
                <c:pt idx="2">
                  <c:v>-1.1070378345673696E-3</c:v>
                </c:pt>
                <c:pt idx="3">
                  <c:v>-4.6580202615243132E-3</c:v>
                </c:pt>
                <c:pt idx="4">
                  <c:v>-1.1089802514683245E-2</c:v>
                </c:pt>
                <c:pt idx="5">
                  <c:v>-4.3212165148402412E-2</c:v>
                </c:pt>
                <c:pt idx="6">
                  <c:v>-0.11050035642635507</c:v>
                </c:pt>
                <c:pt idx="7">
                  <c:v>-0.24320580733905861</c:v>
                </c:pt>
                <c:pt idx="8">
                  <c:v>-0.5332268382910228</c:v>
                </c:pt>
                <c:pt idx="9">
                  <c:v>-1.4998048803075759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142D-B44E-9467-CF39F93728D6}"/>
            </c:ext>
          </c:extLst>
        </c:ser>
        <c:ser>
          <c:idx val="2"/>
          <c:order val="1"/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'Example 2'!$Q$6:$Q$18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-0.12137500758914978</c:v>
                </c:pt>
                <c:pt idx="2">
                  <c:v>-0.50375899276851943</c:v>
                </c:pt>
                <c:pt idx="3">
                  <c:v>-1.1725193239924745</c:v>
                </c:pt>
                <c:pt idx="4">
                  <c:v>-2.1564769451664141</c:v>
                </c:pt>
                <c:pt idx="5">
                  <c:v>-3.4885687177782154</c:v>
                </c:pt>
                <c:pt idx="6">
                  <c:v>-5.2066765772221295</c:v>
                </c:pt>
                <c:pt idx="7">
                  <c:v>-7.354676589230432</c:v>
                </c:pt>
                <c:pt idx="8">
                  <c:v>-9.9837818053777596</c:v>
                </c:pt>
                <c:pt idx="9">
                  <c:v>-13.154283508797125</c:v>
                </c:pt>
                <c:pt idx="10">
                  <c:v>-39.586968832120391</c:v>
                </c:pt>
                <c:pt idx="11">
                  <c:v>-100.16171033945318</c:v>
                </c:pt>
                <c:pt idx="12">
                  <c:v>-149.39789647445542</c:v>
                </c:pt>
              </c:numCache>
            </c:numRef>
          </c:xVal>
          <c:yVal>
            <c:numRef>
              <c:f>'Example 2'!$B$6:$B$18</c:f>
              <c:numCache>
                <c:formatCode>0.00000</c:formatCode>
                <c:ptCount val="13"/>
                <c:pt idx="0">
                  <c:v>0.87860000000000005</c:v>
                </c:pt>
                <c:pt idx="1">
                  <c:v>0.88872137500758919</c:v>
                </c:pt>
                <c:pt idx="2">
                  <c:v>0.89910375899276862</c:v>
                </c:pt>
                <c:pt idx="3">
                  <c:v>0.9097725193239925</c:v>
                </c:pt>
                <c:pt idx="4">
                  <c:v>0.92075647694516649</c:v>
                </c:pt>
                <c:pt idx="5">
                  <c:v>0.93208856871777834</c:v>
                </c:pt>
                <c:pt idx="6">
                  <c:v>0.94380667657722228</c:v>
                </c:pt>
                <c:pt idx="7">
                  <c:v>0.9559546765892305</c:v>
                </c:pt>
                <c:pt idx="8">
                  <c:v>0.96858378180537785</c:v>
                </c:pt>
                <c:pt idx="9">
                  <c:v>0.98175428350879723</c:v>
                </c:pt>
                <c:pt idx="10">
                  <c:v>1.0581869688321206</c:v>
                </c:pt>
                <c:pt idx="11">
                  <c:v>1.1687617103394534</c:v>
                </c:pt>
                <c:pt idx="12">
                  <c:v>1.2379978964744556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142D-B44E-9467-CF39F93728D6}"/>
            </c:ext>
          </c:extLst>
        </c:ser>
        <c:ser>
          <c:idx val="1"/>
          <c:order val="2"/>
          <c:spPr>
            <a:ln w="19050"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xVal>
            <c:numRef>
              <c:f>'Example 2'!$Q$6:$Q$18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-0.12137500758914978</c:v>
                </c:pt>
                <c:pt idx="2">
                  <c:v>-0.50375899276851943</c:v>
                </c:pt>
                <c:pt idx="3">
                  <c:v>-1.1725193239924745</c:v>
                </c:pt>
                <c:pt idx="4">
                  <c:v>-2.1564769451664141</c:v>
                </c:pt>
                <c:pt idx="5">
                  <c:v>-3.4885687177782154</c:v>
                </c:pt>
                <c:pt idx="6">
                  <c:v>-5.2066765772221295</c:v>
                </c:pt>
                <c:pt idx="7">
                  <c:v>-7.354676589230432</c:v>
                </c:pt>
                <c:pt idx="8">
                  <c:v>-9.9837818053777596</c:v>
                </c:pt>
                <c:pt idx="9">
                  <c:v>-13.154283508797125</c:v>
                </c:pt>
                <c:pt idx="10">
                  <c:v>-39.586968832120391</c:v>
                </c:pt>
                <c:pt idx="11">
                  <c:v>-100.16171033945318</c:v>
                </c:pt>
                <c:pt idx="12">
                  <c:v>-149.39789647445542</c:v>
                </c:pt>
              </c:numCache>
            </c:numRef>
          </c:xVal>
          <c:yVal>
            <c:numRef>
              <c:f>'Example 2'!$C$6:$C$18</c:f>
              <c:numCache>
                <c:formatCode>General</c:formatCode>
                <c:ptCount val="13"/>
                <c:pt idx="0">
                  <c:v>0</c:v>
                </c:pt>
                <c:pt idx="1">
                  <c:v>1.2137500758914978E-4</c:v>
                </c:pt>
                <c:pt idx="2">
                  <c:v>5.0375899276851939E-4</c:v>
                </c:pt>
                <c:pt idx="3">
                  <c:v>1.1725193239924745E-3</c:v>
                </c:pt>
                <c:pt idx="4">
                  <c:v>2.1564769451664139E-3</c:v>
                </c:pt>
                <c:pt idx="5">
                  <c:v>3.4885687177782154E-3</c:v>
                </c:pt>
                <c:pt idx="6">
                  <c:v>5.2066765772221298E-3</c:v>
                </c:pt>
                <c:pt idx="7">
                  <c:v>7.3546765892304319E-3</c:v>
                </c:pt>
                <c:pt idx="8">
                  <c:v>9.9837818053777599E-3</c:v>
                </c:pt>
                <c:pt idx="9">
                  <c:v>1.3154283508797125E-2</c:v>
                </c:pt>
                <c:pt idx="10">
                  <c:v>3.9586968832120394E-2</c:v>
                </c:pt>
                <c:pt idx="11">
                  <c:v>0.10016171033945317</c:v>
                </c:pt>
                <c:pt idx="12">
                  <c:v>0.14939789647445542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42D-B44E-9467-CF39F93728D6}"/>
            </c:ext>
          </c:extLst>
        </c:ser>
        <c:ser>
          <c:idx val="0"/>
          <c:order val="3"/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'Example 2'!$AI$6:$AI$18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1.7972899620928261E-2</c:v>
                </c:pt>
                <c:pt idx="2">
                  <c:v>7.3802522304491303E-2</c:v>
                </c:pt>
                <c:pt idx="3">
                  <c:v>0.31053468410162088</c:v>
                </c:pt>
                <c:pt idx="4">
                  <c:v>0.73932016764554964</c:v>
                </c:pt>
                <c:pt idx="5">
                  <c:v>2.8808110098934945</c:v>
                </c:pt>
                <c:pt idx="6">
                  <c:v>7.3666904284236718</c:v>
                </c:pt>
                <c:pt idx="7">
                  <c:v>16.213720489270575</c:v>
                </c:pt>
                <c:pt idx="8">
                  <c:v>35.54845588606819</c:v>
                </c:pt>
                <c:pt idx="9">
                  <c:v>99.986992020505056</c:v>
                </c:pt>
                <c:pt idx="12">
                  <c:v>0</c:v>
                </c:pt>
              </c:numCache>
            </c:numRef>
          </c:xVal>
          <c:yVal>
            <c:numRef>
              <c:f>'Example 2'!$AK$6:$AK$18</c:f>
              <c:numCache>
                <c:formatCode>0.00000</c:formatCode>
                <c:ptCount val="13"/>
                <c:pt idx="0">
                  <c:v>0.87860000000000005</c:v>
                </c:pt>
                <c:pt idx="1">
                  <c:v>0.86833040650568616</c:v>
                </c:pt>
                <c:pt idx="2">
                  <c:v>0.85749296216543269</c:v>
                </c:pt>
                <c:pt idx="3">
                  <c:v>0.83394197973847572</c:v>
                </c:pt>
                <c:pt idx="4">
                  <c:v>0.80751019748531672</c:v>
                </c:pt>
                <c:pt idx="5">
                  <c:v>0.72538783485159752</c:v>
                </c:pt>
                <c:pt idx="6">
                  <c:v>0.60809964357364488</c:v>
                </c:pt>
                <c:pt idx="7">
                  <c:v>0.42539419266094125</c:v>
                </c:pt>
                <c:pt idx="8">
                  <c:v>8.5373161708977019E-2</c:v>
                </c:pt>
                <c:pt idx="9">
                  <c:v>-0.92784488030757606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42D-B44E-9467-CF39F9372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825647"/>
        <c:axId val="656826607"/>
      </c:scatterChart>
      <c:valAx>
        <c:axId val="65682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826607"/>
        <c:crossesAt val="-2"/>
        <c:crossBetween val="midCat"/>
      </c:valAx>
      <c:valAx>
        <c:axId val="656826607"/>
        <c:scaling>
          <c:orientation val="minMax"/>
        </c:scaling>
        <c:delete val="0"/>
        <c:axPos val="r"/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825647"/>
        <c:crosses val="max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7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sv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59384</xdr:rowOff>
    </xdr:from>
    <xdr:to>
      <xdr:col>24</xdr:col>
      <xdr:colOff>645910</xdr:colOff>
      <xdr:row>13</xdr:row>
      <xdr:rowOff>27993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4FFFD8C-B5A4-5E0B-7084-96D17526502A}"/>
            </a:ext>
          </a:extLst>
        </xdr:cNvPr>
        <xdr:cNvGrpSpPr/>
      </xdr:nvGrpSpPr>
      <xdr:grpSpPr>
        <a:xfrm>
          <a:off x="13292667" y="804451"/>
          <a:ext cx="4709910" cy="1645009"/>
          <a:chOff x="2683828" y="960055"/>
          <a:chExt cx="5886450" cy="2325707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13">
                <a:extLst>
                  <a:ext uri="{FF2B5EF4-FFF2-40B4-BE49-F238E27FC236}">
                    <a16:creationId xmlns:a16="http://schemas.microsoft.com/office/drawing/2014/main" id="{23D53CA4-8911-CC0C-8980-8466FCB6ECE0}"/>
                  </a:ext>
                </a:extLst>
              </xdr:cNvPr>
              <xdr:cNvSpPr txBox="1"/>
            </xdr:nvSpPr>
            <xdr:spPr>
              <a:xfrm>
                <a:off x="3112694" y="2251604"/>
                <a:ext cx="226408" cy="215445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0" i="1">
                              <a:solidFill>
                                <a:srgbClr val="269227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400" b="0" i="1">
                              <a:solidFill>
                                <a:srgbClr val="269227"/>
                              </a:solidFill>
                              <a:latin typeface="Cambria Math" panose="02040503050406030204" pitchFamily="18" charset="0"/>
                            </a:rPr>
                            <m:t>h</m:t>
                          </m:r>
                        </m:e>
                        <m:sub>
                          <m:r>
                            <a:rPr lang="en-US" sz="1400" b="0" i="1">
                              <a:solidFill>
                                <a:srgbClr val="269227"/>
                              </a:solidFill>
                              <a:latin typeface="Cambria Math" panose="02040503050406030204" pitchFamily="18" charset="0"/>
                            </a:rPr>
                            <m:t>𝑐</m:t>
                          </m:r>
                        </m:sub>
                      </m:sSub>
                    </m:oMath>
                  </m:oMathPara>
                </a14:m>
                <a:endParaRPr lang="fr-CH" sz="1400">
                  <a:solidFill>
                    <a:srgbClr val="269227"/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3" name="TextBox 13">
                <a:extLst>
                  <a:ext uri="{FF2B5EF4-FFF2-40B4-BE49-F238E27FC236}">
                    <a16:creationId xmlns:a16="http://schemas.microsoft.com/office/drawing/2014/main" id="{23D53CA4-8911-CC0C-8980-8466FCB6ECE0}"/>
                  </a:ext>
                </a:extLst>
              </xdr:cNvPr>
              <xdr:cNvSpPr txBox="1"/>
            </xdr:nvSpPr>
            <xdr:spPr>
              <a:xfrm>
                <a:off x="3112694" y="2251604"/>
                <a:ext cx="226408" cy="215445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sz="1400" b="0" i="0">
                    <a:solidFill>
                      <a:srgbClr val="269227"/>
                    </a:solidFill>
                    <a:latin typeface="Cambria Math" panose="02040503050406030204" pitchFamily="18" charset="0"/>
                  </a:rPr>
                  <a:t>ℎ_𝑐</a:t>
                </a:r>
                <a:endParaRPr lang="fr-CH" sz="1400">
                  <a:solidFill>
                    <a:srgbClr val="269227"/>
                  </a:solidFill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14">
                <a:extLst>
                  <a:ext uri="{FF2B5EF4-FFF2-40B4-BE49-F238E27FC236}">
                    <a16:creationId xmlns:a16="http://schemas.microsoft.com/office/drawing/2014/main" id="{4B8C1318-438E-A08F-F781-272AA1AC4B59}"/>
                  </a:ext>
                </a:extLst>
              </xdr:cNvPr>
              <xdr:cNvSpPr txBox="1"/>
            </xdr:nvSpPr>
            <xdr:spPr>
              <a:xfrm>
                <a:off x="3156240" y="1860000"/>
                <a:ext cx="243722" cy="215445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0" i="1">
                              <a:solidFill>
                                <a:srgbClr val="F3986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400" b="0" i="1">
                              <a:solidFill>
                                <a:srgbClr val="F39869"/>
                              </a:solidFill>
                              <a:latin typeface="Cambria Math" panose="02040503050406030204" pitchFamily="18" charset="0"/>
                            </a:rPr>
                            <m:t>h</m:t>
                          </m:r>
                        </m:e>
                        <m:sub>
                          <m:r>
                            <a:rPr lang="en-US" sz="1400" b="0" i="1">
                              <a:solidFill>
                                <a:srgbClr val="F39869"/>
                              </a:solidFill>
                              <a:latin typeface="Cambria Math" panose="02040503050406030204" pitchFamily="18" charset="0"/>
                            </a:rPr>
                            <m:t>𝑛</m:t>
                          </m:r>
                        </m:sub>
                      </m:sSub>
                    </m:oMath>
                  </m:oMathPara>
                </a14:m>
                <a:endParaRPr lang="fr-CH" sz="1400">
                  <a:solidFill>
                    <a:srgbClr val="F39869"/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4" name="TextBox 14">
                <a:extLst>
                  <a:ext uri="{FF2B5EF4-FFF2-40B4-BE49-F238E27FC236}">
                    <a16:creationId xmlns:a16="http://schemas.microsoft.com/office/drawing/2014/main" id="{4B8C1318-438E-A08F-F781-272AA1AC4B59}"/>
                  </a:ext>
                </a:extLst>
              </xdr:cNvPr>
              <xdr:cNvSpPr txBox="1"/>
            </xdr:nvSpPr>
            <xdr:spPr>
              <a:xfrm>
                <a:off x="3156240" y="1860000"/>
                <a:ext cx="243722" cy="215445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sz="1400" b="0" i="0">
                    <a:solidFill>
                      <a:srgbClr val="F39869"/>
                    </a:solidFill>
                    <a:latin typeface="Cambria Math" panose="02040503050406030204" pitchFamily="18" charset="0"/>
                  </a:rPr>
                  <a:t>ℎ_𝑛</a:t>
                </a:r>
                <a:endParaRPr lang="fr-CH" sz="1400">
                  <a:solidFill>
                    <a:srgbClr val="F39869"/>
                  </a:solidFill>
                </a:endParaRPr>
              </a:p>
            </xdr:txBody>
          </xdr:sp>
        </mc:Fallback>
      </mc:AlternateContent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286B916E-F159-DC07-01F8-862EB77906DC}"/>
              </a:ext>
            </a:extLst>
          </xdr:cNvPr>
          <xdr:cNvGrpSpPr/>
        </xdr:nvGrpSpPr>
        <xdr:grpSpPr>
          <a:xfrm>
            <a:off x="2683828" y="960055"/>
            <a:ext cx="5886450" cy="2325707"/>
            <a:chOff x="2683828" y="960055"/>
            <a:chExt cx="5886450" cy="2325707"/>
          </a:xfrm>
        </xdr:grpSpPr>
        <xdr:pic>
          <xdr:nvPicPr>
            <xdr:cNvPr id="6" name="Graphic 17">
              <a:extLst>
                <a:ext uri="{FF2B5EF4-FFF2-40B4-BE49-F238E27FC236}">
                  <a16:creationId xmlns:a16="http://schemas.microsoft.com/office/drawing/2014/main" id="{7C283B15-520A-1A8C-B128-EF0BBB4B49F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rcRect t="52589"/>
            <a:stretch>
              <a:fillRect/>
            </a:stretch>
          </xdr:blipFill>
          <xdr:spPr>
            <a:xfrm>
              <a:off x="2683828" y="960055"/>
              <a:ext cx="5886450" cy="2325707"/>
            </a:xfrm>
            <a:prstGeom prst="rect">
              <a:avLst/>
            </a:prstGeom>
          </xdr:spPr>
        </xdr:pic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09E72C62-5191-4446-B6D7-2C8610A4F701}"/>
                </a:ext>
              </a:extLst>
            </xdr:cNvPr>
            <xdr:cNvCxnSpPr>
              <a:cxnSpLocks/>
            </xdr:cNvCxnSpPr>
          </xdr:nvCxnSpPr>
          <xdr:spPr>
            <a:xfrm>
              <a:off x="3404199" y="2467047"/>
              <a:ext cx="3887953" cy="486337"/>
            </a:xfrm>
            <a:prstGeom prst="line">
              <a:avLst/>
            </a:prstGeom>
            <a:ln w="19050">
              <a:solidFill>
                <a:srgbClr val="269227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Connector 7">
              <a:extLst>
                <a:ext uri="{FF2B5EF4-FFF2-40B4-BE49-F238E27FC236}">
                  <a16:creationId xmlns:a16="http://schemas.microsoft.com/office/drawing/2014/main" id="{167445E6-B32C-1A83-9644-C42B5AFD1264}"/>
                </a:ext>
              </a:extLst>
            </xdr:cNvPr>
            <xdr:cNvCxnSpPr>
              <a:cxnSpLocks/>
            </xdr:cNvCxnSpPr>
          </xdr:nvCxnSpPr>
          <xdr:spPr>
            <a:xfrm>
              <a:off x="3432091" y="2152650"/>
              <a:ext cx="3949976" cy="484032"/>
            </a:xfrm>
            <a:prstGeom prst="line">
              <a:avLst/>
            </a:prstGeom>
            <a:ln w="19050">
              <a:solidFill>
                <a:srgbClr val="F39869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14</xdr:col>
      <xdr:colOff>450850</xdr:colOff>
      <xdr:row>1</xdr:row>
      <xdr:rowOff>31750</xdr:rowOff>
    </xdr:from>
    <xdr:to>
      <xdr:col>16</xdr:col>
      <xdr:colOff>256024</xdr:colOff>
      <xdr:row>3</xdr:row>
      <xdr:rowOff>166399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4A76F9-CB44-D492-6B32-4BA9B7B44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47200" y="222250"/>
          <a:ext cx="1246624" cy="515649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95251</xdr:colOff>
      <xdr:row>15</xdr:row>
      <xdr:rowOff>94245</xdr:rowOff>
    </xdr:from>
    <xdr:to>
      <xdr:col>14</xdr:col>
      <xdr:colOff>196850</xdr:colOff>
      <xdr:row>18</xdr:row>
      <xdr:rowOff>47801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FA11B3-1D89-F3A7-A2EA-E1565CE3A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8366"/>
        <a:stretch>
          <a:fillRect/>
        </a:stretch>
      </xdr:blipFill>
      <xdr:spPr>
        <a:xfrm>
          <a:off x="7734301" y="2951745"/>
          <a:ext cx="1358899" cy="525056"/>
        </a:xfrm>
        <a:prstGeom prst="rect">
          <a:avLst/>
        </a:prstGeom>
      </xdr:spPr>
    </xdr:pic>
    <xdr:clientData/>
  </xdr:twoCellAnchor>
  <xdr:twoCellAnchor>
    <xdr:from>
      <xdr:col>2</xdr:col>
      <xdr:colOff>240240</xdr:colOff>
      <xdr:row>25</xdr:row>
      <xdr:rowOff>1586</xdr:rowOff>
    </xdr:from>
    <xdr:to>
      <xdr:col>15</xdr:col>
      <xdr:colOff>187324</xdr:colOff>
      <xdr:row>39</xdr:row>
      <xdr:rowOff>77786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1990C9-A024-F139-66C5-D0C5FF5E6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414866</xdr:colOff>
      <xdr:row>33</xdr:row>
      <xdr:rowOff>162454</xdr:rowOff>
    </xdr:from>
    <xdr:to>
      <xdr:col>14</xdr:col>
      <xdr:colOff>767291</xdr:colOff>
      <xdr:row>35</xdr:row>
      <xdr:rowOff>28575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40F335E-71F1-DC13-63BC-7A3E5C9B42BB}"/>
            </a:ext>
          </a:extLst>
        </xdr:cNvPr>
        <xdr:cNvSpPr txBox="1"/>
      </xdr:nvSpPr>
      <xdr:spPr>
        <a:xfrm>
          <a:off x="10574866" y="6309254"/>
          <a:ext cx="352425" cy="2386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hc</a:t>
          </a:r>
        </a:p>
      </xdr:txBody>
    </xdr:sp>
    <xdr:clientData/>
  </xdr:twoCellAnchor>
  <xdr:twoCellAnchor>
    <xdr:from>
      <xdr:col>14</xdr:col>
      <xdr:colOff>414866</xdr:colOff>
      <xdr:row>30</xdr:row>
      <xdr:rowOff>181504</xdr:rowOff>
    </xdr:from>
    <xdr:to>
      <xdr:col>14</xdr:col>
      <xdr:colOff>767291</xdr:colOff>
      <xdr:row>32</xdr:row>
      <xdr:rowOff>43392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7102D19-223E-44B6-8395-FBBBA09EA857}"/>
            </a:ext>
          </a:extLst>
        </xdr:cNvPr>
        <xdr:cNvSpPr txBox="1"/>
      </xdr:nvSpPr>
      <xdr:spPr>
        <a:xfrm>
          <a:off x="10574866" y="5769504"/>
          <a:ext cx="352425" cy="23442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hn</a:t>
          </a:r>
        </a:p>
      </xdr:txBody>
    </xdr:sp>
    <xdr:clientData/>
  </xdr:twoCellAnchor>
  <xdr:twoCellAnchor editAs="oneCell">
    <xdr:from>
      <xdr:col>15</xdr:col>
      <xdr:colOff>34922</xdr:colOff>
      <xdr:row>27</xdr:row>
      <xdr:rowOff>101599</xdr:rowOff>
    </xdr:from>
    <xdr:to>
      <xdr:col>17</xdr:col>
      <xdr:colOff>655188</xdr:colOff>
      <xdr:row>39</xdr:row>
      <xdr:rowOff>63499</xdr:rowOff>
    </xdr:to>
    <xdr:pic>
      <xdr:nvPicPr>
        <xdr:cNvPr id="15" name="Graphic 14">
          <a:extLst>
            <a:ext uri="{FF2B5EF4-FFF2-40B4-BE49-F238E27FC236}">
              <a16:creationId xmlns:a16="http://schemas.microsoft.com/office/drawing/2014/main" id="{B08F58A8-171A-741B-92FE-B8994EC2A7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rcRect l="79117" t="72816"/>
        <a:stretch>
          <a:fillRect/>
        </a:stretch>
      </xdr:blipFill>
      <xdr:spPr>
        <a:xfrm>
          <a:off x="11024655" y="5130799"/>
          <a:ext cx="2178133" cy="219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421341</xdr:colOff>
      <xdr:row>0</xdr:row>
      <xdr:rowOff>2242</xdr:rowOff>
    </xdr:from>
    <xdr:to>
      <xdr:col>8</xdr:col>
      <xdr:colOff>545439</xdr:colOff>
      <xdr:row>3</xdr:row>
      <xdr:rowOff>49953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48683E-D2D6-4613-617F-2AE6C754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6929" y="2242"/>
          <a:ext cx="1939451" cy="619211"/>
        </a:xfrm>
        <a:prstGeom prst="rect">
          <a:avLst/>
        </a:prstGeom>
      </xdr:spPr>
    </xdr:pic>
    <xdr:clientData/>
  </xdr:twoCellAnchor>
  <xdr:twoCellAnchor>
    <xdr:from>
      <xdr:col>6</xdr:col>
      <xdr:colOff>588308</xdr:colOff>
      <xdr:row>19</xdr:row>
      <xdr:rowOff>79562</xdr:rowOff>
    </xdr:from>
    <xdr:to>
      <xdr:col>14</xdr:col>
      <xdr:colOff>319367</xdr:colOff>
      <xdr:row>33</xdr:row>
      <xdr:rowOff>155762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1FB8E1-14AF-9055-2F2D-0FDD225A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246395</xdr:colOff>
      <xdr:row>19</xdr:row>
      <xdr:rowOff>131404</xdr:rowOff>
    </xdr:from>
    <xdr:to>
      <xdr:col>30</xdr:col>
      <xdr:colOff>644204</xdr:colOff>
      <xdr:row>34</xdr:row>
      <xdr:rowOff>8032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FACE23-FE76-4717-A049-53A68289B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112058</xdr:colOff>
      <xdr:row>36</xdr:row>
      <xdr:rowOff>22411</xdr:rowOff>
    </xdr:from>
    <xdr:to>
      <xdr:col>23</xdr:col>
      <xdr:colOff>380998</xdr:colOff>
      <xdr:row>52</xdr:row>
      <xdr:rowOff>145676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1CB94A-281C-4D2F-82B6-6BAD06D2F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516467</xdr:colOff>
      <xdr:row>19</xdr:row>
      <xdr:rowOff>167217</xdr:rowOff>
    </xdr:from>
    <xdr:to>
      <xdr:col>19</xdr:col>
      <xdr:colOff>63335</xdr:colOff>
      <xdr:row>29</xdr:row>
      <xdr:rowOff>118534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F8C722B-6D0C-96CB-4716-919C44802CC8}"/>
            </a:ext>
          </a:extLst>
        </xdr:cNvPr>
        <xdr:cNvGrpSpPr/>
      </xdr:nvGrpSpPr>
      <xdr:grpSpPr>
        <a:xfrm>
          <a:off x="7280597" y="3839174"/>
          <a:ext cx="5731216" cy="1883925"/>
          <a:chOff x="3530236" y="1768454"/>
          <a:chExt cx="5101002" cy="1198344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A21005CF-45D7-D89A-E138-18BF6A20B3DA}"/>
              </a:ext>
            </a:extLst>
          </xdr:cNvPr>
          <xdr:cNvGrpSpPr/>
        </xdr:nvGrpSpPr>
        <xdr:grpSpPr>
          <a:xfrm>
            <a:off x="3753478" y="1795309"/>
            <a:ext cx="4877759" cy="1171489"/>
            <a:chOff x="3682578" y="3697067"/>
            <a:chExt cx="4877759" cy="1171489"/>
          </a:xfrm>
        </xdr:grpSpPr>
        <xdr:pic>
          <xdr:nvPicPr>
            <xdr:cNvPr id="20" name="Picture 19" descr="A diagram of a line graph&#10;&#10;AI-generated content may be incorrect.">
              <a:extLst>
                <a:ext uri="{FF2B5EF4-FFF2-40B4-BE49-F238E27FC236}">
                  <a16:creationId xmlns:a16="http://schemas.microsoft.com/office/drawing/2014/main" id="{B109200D-DEDF-146A-6E90-A5CD85E8AE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682578" y="3697067"/>
              <a:ext cx="4877759" cy="1136137"/>
            </a:xfrm>
            <a:prstGeom prst="rect">
              <a:avLst/>
            </a:prstGeom>
          </xdr:spPr>
        </xdr:pic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E157ED18-8D5E-67D1-3A11-4246FD4BDBB7}"/>
                </a:ext>
              </a:extLst>
            </xdr:cNvPr>
            <xdr:cNvSpPr/>
          </xdr:nvSpPr>
          <xdr:spPr>
            <a:xfrm>
              <a:off x="5914417" y="4012660"/>
              <a:ext cx="252919" cy="252476"/>
            </a:xfrm>
            <a:prstGeom prst="rect">
              <a:avLst/>
            </a:prstGeom>
            <a:solidFill>
              <a:srgbClr val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CH"/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F033C9EB-CA53-B7E2-D52B-E591E8258DD4}"/>
                </a:ext>
              </a:extLst>
            </xdr:cNvPr>
            <xdr:cNvSpPr/>
          </xdr:nvSpPr>
          <xdr:spPr>
            <a:xfrm rot="339810">
              <a:off x="6533744" y="4616080"/>
              <a:ext cx="252919" cy="252476"/>
            </a:xfrm>
            <a:prstGeom prst="rect">
              <a:avLst/>
            </a:prstGeom>
            <a:solidFill>
              <a:srgbClr val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CH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23" name="TextBox 21">
                  <a:extLst>
                    <a:ext uri="{FF2B5EF4-FFF2-40B4-BE49-F238E27FC236}">
                      <a16:creationId xmlns:a16="http://schemas.microsoft.com/office/drawing/2014/main" id="{BB0C7BBE-1AA8-637A-78DC-A09B50643DB6}"/>
                    </a:ext>
                  </a:extLst>
                </xdr:cNvPr>
                <xdr:cNvSpPr txBox="1"/>
              </xdr:nvSpPr>
              <xdr:spPr>
                <a:xfrm>
                  <a:off x="5951443" y="4012660"/>
                  <a:ext cx="215893" cy="207749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fr-FR"/>
                  </a:defPPr>
                  <a:lvl1pPr marL="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3429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6858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0287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3716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17145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0574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24003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27432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oMath>
                    </m:oMathPara>
                  </a14:m>
                  <a:endParaRPr lang="fr-CH"/>
                </a:p>
              </xdr:txBody>
            </xdr:sp>
          </mc:Choice>
          <mc:Fallback xmlns="">
            <xdr:sp macro="" textlink="">
              <xdr:nvSpPr>
                <xdr:cNvPr id="23" name="TextBox 21">
                  <a:extLst>
                    <a:ext uri="{FF2B5EF4-FFF2-40B4-BE49-F238E27FC236}">
                      <a16:creationId xmlns:a16="http://schemas.microsoft.com/office/drawing/2014/main" id="{BB0C7BBE-1AA8-637A-78DC-A09B50643DB6}"/>
                    </a:ext>
                  </a:extLst>
                </xdr:cNvPr>
                <xdr:cNvSpPr txBox="1"/>
              </xdr:nvSpPr>
              <xdr:spPr>
                <a:xfrm>
                  <a:off x="5951443" y="4012660"/>
                  <a:ext cx="215893" cy="207749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fr-FR"/>
                  </a:defPPr>
                  <a:lvl1pPr marL="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3429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6858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0287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3716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17145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0574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24003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27432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en-US" b="0" i="0">
                      <a:latin typeface="Cambria Math" panose="02040503050406030204" pitchFamily="18" charset="0"/>
                    </a:rPr>
                    <a:t>𝑦_1</a:t>
                  </a:r>
                  <a:endParaRPr lang="fr-CH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24" name="TextBox 22">
                  <a:extLst>
                    <a:ext uri="{FF2B5EF4-FFF2-40B4-BE49-F238E27FC236}">
                      <a16:creationId xmlns:a16="http://schemas.microsoft.com/office/drawing/2014/main" id="{EA198BB3-FF2C-1DE3-785B-6393D6FF0BF7}"/>
                    </a:ext>
                  </a:extLst>
                </xdr:cNvPr>
                <xdr:cNvSpPr txBox="1"/>
              </xdr:nvSpPr>
              <xdr:spPr>
                <a:xfrm>
                  <a:off x="6585367" y="4214525"/>
                  <a:ext cx="219932" cy="207749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fr-FR"/>
                  </a:defPPr>
                  <a:lvl1pPr marL="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3429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6858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0287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3716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17145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0574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24003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27432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oMath>
                    </m:oMathPara>
                  </a14:m>
                  <a:endParaRPr lang="fr-CH"/>
                </a:p>
              </xdr:txBody>
            </xdr:sp>
          </mc:Choice>
          <mc:Fallback xmlns="">
            <xdr:sp macro="" textlink="">
              <xdr:nvSpPr>
                <xdr:cNvPr id="24" name="TextBox 22">
                  <a:extLst>
                    <a:ext uri="{FF2B5EF4-FFF2-40B4-BE49-F238E27FC236}">
                      <a16:creationId xmlns:a16="http://schemas.microsoft.com/office/drawing/2014/main" id="{EA198BB3-FF2C-1DE3-785B-6393D6FF0BF7}"/>
                    </a:ext>
                  </a:extLst>
                </xdr:cNvPr>
                <xdr:cNvSpPr txBox="1"/>
              </xdr:nvSpPr>
              <xdr:spPr>
                <a:xfrm>
                  <a:off x="6585367" y="4214525"/>
                  <a:ext cx="219932" cy="207749"/>
                </a:xfrm>
                <a:prstGeom prst="rect">
                  <a:avLst/>
                </a:prstGeom>
                <a:noFill/>
              </xdr:spPr>
              <xdr:txBody>
                <a:bodyPr wrap="square" lIns="0" tIns="0" rIns="0" bIns="0" rtlCol="0">
                  <a:spAutoFit/>
                </a:bodyPr>
                <a:lstStyle>
                  <a:defPPr>
                    <a:defRPr lang="fr-FR"/>
                  </a:defPPr>
                  <a:lvl1pPr marL="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3429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6858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0287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3716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17145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0574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24003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2743200" algn="l" defTabSz="685800" rtl="0" eaLnBrk="1" latinLnBrk="0" hangingPunct="1">
                    <a:defRPr sz="135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/>
                  <a:r>
                    <a:rPr lang="en-US" b="0" i="0">
                      <a:latin typeface="Cambria Math" panose="02040503050406030204" pitchFamily="18" charset="0"/>
                    </a:rPr>
                    <a:t>𝑦_2</a:t>
                  </a:r>
                  <a:endParaRPr lang="fr-CH"/>
                </a:p>
              </xdr:txBody>
            </xdr:sp>
          </mc:Fallback>
        </mc:AlternateContent>
      </xdr:grp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6940DBFA-1BEA-C5EC-C31C-6A92EA7216ED}"/>
              </a:ext>
            </a:extLst>
          </xdr:cNvPr>
          <xdr:cNvCxnSpPr>
            <a:cxnSpLocks/>
          </xdr:cNvCxnSpPr>
        </xdr:nvCxnSpPr>
        <xdr:spPr>
          <a:xfrm>
            <a:off x="3761148" y="1967170"/>
            <a:ext cx="4870090" cy="625311"/>
          </a:xfrm>
          <a:prstGeom prst="line">
            <a:avLst/>
          </a:prstGeom>
          <a:ln w="19050">
            <a:solidFill>
              <a:srgbClr val="269227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6" name="TextBox 12">
                <a:extLst>
                  <a:ext uri="{FF2B5EF4-FFF2-40B4-BE49-F238E27FC236}">
                    <a16:creationId xmlns:a16="http://schemas.microsoft.com/office/drawing/2014/main" id="{983AFA9B-84FE-3E30-4061-A8408AAFBBFF}"/>
                  </a:ext>
                </a:extLst>
              </xdr:cNvPr>
              <xdr:cNvSpPr txBox="1"/>
            </xdr:nvSpPr>
            <xdr:spPr>
              <a:xfrm>
                <a:off x="3582107" y="1768454"/>
                <a:ext cx="212238" cy="215444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0" i="1">
                              <a:solidFill>
                                <a:srgbClr val="269227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400" b="0" i="1">
                              <a:solidFill>
                                <a:srgbClr val="269227"/>
                              </a:solidFill>
                              <a:latin typeface="Cambria Math" panose="02040503050406030204" pitchFamily="18" charset="0"/>
                            </a:rPr>
                            <m:t>𝑦</m:t>
                          </m:r>
                        </m:e>
                        <m:sub>
                          <m:r>
                            <a:rPr lang="en-US" sz="1400" b="0" i="1">
                              <a:solidFill>
                                <a:srgbClr val="269227"/>
                              </a:solidFill>
                              <a:latin typeface="Cambria Math" panose="02040503050406030204" pitchFamily="18" charset="0"/>
                            </a:rPr>
                            <m:t>𝑐</m:t>
                          </m:r>
                        </m:sub>
                      </m:sSub>
                    </m:oMath>
                  </m:oMathPara>
                </a14:m>
                <a:endParaRPr lang="fr-CH" sz="1400">
                  <a:solidFill>
                    <a:srgbClr val="269227"/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16" name="TextBox 12">
                <a:extLst>
                  <a:ext uri="{FF2B5EF4-FFF2-40B4-BE49-F238E27FC236}">
                    <a16:creationId xmlns:a16="http://schemas.microsoft.com/office/drawing/2014/main" id="{983AFA9B-84FE-3E30-4061-A8408AAFBBFF}"/>
                  </a:ext>
                </a:extLst>
              </xdr:cNvPr>
              <xdr:cNvSpPr txBox="1"/>
            </xdr:nvSpPr>
            <xdr:spPr>
              <a:xfrm>
                <a:off x="3582107" y="1768454"/>
                <a:ext cx="212238" cy="215444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sz="1400" b="0" i="0">
                    <a:solidFill>
                      <a:srgbClr val="269227"/>
                    </a:solidFill>
                    <a:latin typeface="Cambria Math" panose="02040503050406030204" pitchFamily="18" charset="0"/>
                  </a:rPr>
                  <a:t>𝑦_𝑐</a:t>
                </a:r>
                <a:endParaRPr lang="fr-CH" sz="1400">
                  <a:solidFill>
                    <a:srgbClr val="269227"/>
                  </a:solidFill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7" name="TextBox 38">
                <a:extLst>
                  <a:ext uri="{FF2B5EF4-FFF2-40B4-BE49-F238E27FC236}">
                    <a16:creationId xmlns:a16="http://schemas.microsoft.com/office/drawing/2014/main" id="{87ACA157-8664-DDEC-F3D7-7A23E8C8341C}"/>
                  </a:ext>
                </a:extLst>
              </xdr:cNvPr>
              <xdr:cNvSpPr txBox="1"/>
            </xdr:nvSpPr>
            <xdr:spPr>
              <a:xfrm>
                <a:off x="3530236" y="1895315"/>
                <a:ext cx="229550" cy="215444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US" sz="1400" b="0" i="1">
                              <a:solidFill>
                                <a:srgbClr val="F39869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400" b="0" i="1">
                              <a:solidFill>
                                <a:srgbClr val="F39869"/>
                              </a:solidFill>
                              <a:latin typeface="Cambria Math" panose="02040503050406030204" pitchFamily="18" charset="0"/>
                            </a:rPr>
                            <m:t>𝑦</m:t>
                          </m:r>
                        </m:e>
                        <m:sub>
                          <m:r>
                            <a:rPr lang="en-US" sz="1400" b="0" i="1">
                              <a:solidFill>
                                <a:srgbClr val="F39869"/>
                              </a:solidFill>
                              <a:latin typeface="Cambria Math" panose="02040503050406030204" pitchFamily="18" charset="0"/>
                            </a:rPr>
                            <m:t>𝑛</m:t>
                          </m:r>
                        </m:sub>
                      </m:sSub>
                    </m:oMath>
                  </m:oMathPara>
                </a14:m>
                <a:endParaRPr lang="fr-CH" sz="1400">
                  <a:solidFill>
                    <a:srgbClr val="F39869"/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17" name="TextBox 38">
                <a:extLst>
                  <a:ext uri="{FF2B5EF4-FFF2-40B4-BE49-F238E27FC236}">
                    <a16:creationId xmlns:a16="http://schemas.microsoft.com/office/drawing/2014/main" id="{87ACA157-8664-DDEC-F3D7-7A23E8C8341C}"/>
                  </a:ext>
                </a:extLst>
              </xdr:cNvPr>
              <xdr:cNvSpPr txBox="1"/>
            </xdr:nvSpPr>
            <xdr:spPr>
              <a:xfrm>
                <a:off x="3530236" y="1895315"/>
                <a:ext cx="229550" cy="215444"/>
              </a:xfrm>
              <a:prstGeom prst="rect">
                <a:avLst/>
              </a:prstGeom>
              <a:noFill/>
            </xdr:spPr>
            <xdr:txBody>
              <a:bodyPr wrap="square" lIns="0" tIns="0" rIns="0" bIns="0" rtlCol="0">
                <a:spAutoFit/>
              </a:bodyPr>
              <a:lstStyle>
                <a:defPPr>
                  <a:defRPr lang="fr-FR"/>
                </a:defPPr>
                <a:lvl1pPr marL="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3429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6858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0287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3716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17145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0574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24003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2743200" algn="l" defTabSz="685800" rtl="0" eaLnBrk="1" latinLnBrk="0" hangingPunct="1">
                  <a:defRPr sz="135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en-US" sz="1400" b="0" i="0">
                    <a:solidFill>
                      <a:srgbClr val="F39869"/>
                    </a:solidFill>
                    <a:latin typeface="Cambria Math" panose="02040503050406030204" pitchFamily="18" charset="0"/>
                  </a:rPr>
                  <a:t>𝑦_𝑛</a:t>
                </a:r>
                <a:endParaRPr lang="fr-CH" sz="1400">
                  <a:solidFill>
                    <a:srgbClr val="F39869"/>
                  </a:solidFill>
                </a:endParaRPr>
              </a:p>
            </xdr:txBody>
          </xdr:sp>
        </mc:Fallback>
      </mc:AlternateContent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F912C336-2699-4F4B-C5A2-2D01DDD29611}"/>
              </a:ext>
            </a:extLst>
          </xdr:cNvPr>
          <xdr:cNvCxnSpPr>
            <a:cxnSpLocks/>
          </xdr:cNvCxnSpPr>
        </xdr:nvCxnSpPr>
        <xdr:spPr>
          <a:xfrm>
            <a:off x="3753479" y="2085408"/>
            <a:ext cx="4877759" cy="600821"/>
          </a:xfrm>
          <a:prstGeom prst="line">
            <a:avLst/>
          </a:prstGeom>
          <a:ln w="19050">
            <a:solidFill>
              <a:srgbClr val="F39869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9" name="Graphic 48">
            <a:extLst>
              <a:ext uri="{FF2B5EF4-FFF2-40B4-BE49-F238E27FC236}">
                <a16:creationId xmlns:a16="http://schemas.microsoft.com/office/drawing/2014/main" id="{582F3A8A-24AB-610F-36B8-293A2EFC2A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761641" y="1888671"/>
            <a:ext cx="4848225" cy="800100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152399</xdr:colOff>
      <xdr:row>0</xdr:row>
      <xdr:rowOff>150145</xdr:rowOff>
    </xdr:from>
    <xdr:to>
      <xdr:col>14</xdr:col>
      <xdr:colOff>592666</xdr:colOff>
      <xdr:row>3</xdr:row>
      <xdr:rowOff>71964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6A43B3-4F9E-F403-B4E3-027B115A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0399" y="150145"/>
          <a:ext cx="1794934" cy="506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C719-B364-4D56-81E1-15E1D114B97F}">
  <dimension ref="D5:AB23"/>
  <sheetViews>
    <sheetView showGridLines="0" zoomScale="75" zoomScaleNormal="100" workbookViewId="0">
      <selection activeCell="E19" sqref="E19:F19"/>
    </sheetView>
  </sheetViews>
  <sheetFormatPr baseColWidth="10" defaultColWidth="8.83203125" defaultRowHeight="15" x14ac:dyDescent="0.2"/>
  <cols>
    <col min="4" max="4" width="7.1640625" bestFit="1" customWidth="1"/>
    <col min="5" max="6" width="9" customWidth="1"/>
    <col min="7" max="8" width="11.5" customWidth="1"/>
    <col min="9" max="9" width="9.33203125" customWidth="1"/>
    <col min="10" max="10" width="7.5" customWidth="1"/>
    <col min="11" max="12" width="11.1640625" customWidth="1"/>
    <col min="13" max="14" width="9.5" customWidth="1"/>
    <col min="15" max="15" width="10.83203125" customWidth="1"/>
    <col min="16" max="16" width="10.6640625" customWidth="1"/>
    <col min="17" max="18" width="9.6640625" customWidth="1"/>
  </cols>
  <sheetData>
    <row r="5" spans="4:28" x14ac:dyDescent="0.2">
      <c r="D5" s="1" t="s">
        <v>0</v>
      </c>
      <c r="E5" s="1" t="s">
        <v>10</v>
      </c>
      <c r="F5" s="1" t="s">
        <v>1</v>
      </c>
      <c r="G5" s="1" t="s">
        <v>2</v>
      </c>
      <c r="H5" s="1" t="s">
        <v>15</v>
      </c>
      <c r="I5" s="1" t="s">
        <v>3</v>
      </c>
      <c r="J5" s="1" t="s">
        <v>4</v>
      </c>
      <c r="K5" s="1" t="s">
        <v>5</v>
      </c>
      <c r="L5" s="1" t="s">
        <v>16</v>
      </c>
      <c r="M5" s="1" t="s">
        <v>6</v>
      </c>
      <c r="N5" s="1" t="s">
        <v>17</v>
      </c>
      <c r="O5" s="1" t="s">
        <v>7</v>
      </c>
      <c r="P5" s="1" t="s">
        <v>8</v>
      </c>
      <c r="Q5" s="1" t="s">
        <v>9</v>
      </c>
      <c r="R5" s="1" t="s">
        <v>34</v>
      </c>
      <c r="AA5" t="s">
        <v>18</v>
      </c>
      <c r="AB5" t="s">
        <v>19</v>
      </c>
    </row>
    <row r="6" spans="4:28" x14ac:dyDescent="0.2">
      <c r="D6" s="2">
        <v>1</v>
      </c>
      <c r="E6" s="3">
        <v>5</v>
      </c>
      <c r="F6" s="2">
        <v>-0.25</v>
      </c>
      <c r="G6" s="3">
        <f>AVERAGE(E6:E7)</f>
        <v>4.875</v>
      </c>
      <c r="H6" s="2">
        <f>+G6*$F$23</f>
        <v>14.625</v>
      </c>
      <c r="I6" s="4">
        <f>$F$22/H6</f>
        <v>0.68376068376068377</v>
      </c>
      <c r="J6" s="4">
        <f>+I6/SQRT(9.81*G6)</f>
        <v>9.8874047221054445E-2</v>
      </c>
      <c r="K6" s="4">
        <f>1-J6^2</f>
        <v>0.9902239227861287</v>
      </c>
      <c r="L6" s="4">
        <f>(G6*2+$F$23)</f>
        <v>12.75</v>
      </c>
      <c r="M6" s="4">
        <f>+(G6*3)/L6</f>
        <v>1.1470588235294117</v>
      </c>
      <c r="N6" s="5">
        <f>($F$21*I6/(M6^(2/3)))^2</f>
        <v>1.8845428880729956E-4</v>
      </c>
      <c r="O6" s="5">
        <f>$F$20-($F$21*I6/(M6^(2/3)))^2</f>
        <v>8.1154571119270043E-4</v>
      </c>
      <c r="P6" s="3">
        <f>ABS(F6*K6/O6)*R6</f>
        <v>-305.04255925733105</v>
      </c>
      <c r="Q6" s="2">
        <v>0</v>
      </c>
      <c r="R6" s="2">
        <v>-1</v>
      </c>
      <c r="AA6">
        <v>2.44</v>
      </c>
      <c r="AB6">
        <v>1.04</v>
      </c>
    </row>
    <row r="7" spans="4:28" x14ac:dyDescent="0.2">
      <c r="D7" s="2">
        <v>2</v>
      </c>
      <c r="E7" s="3">
        <f>+E6+F6</f>
        <v>4.75</v>
      </c>
      <c r="F7" s="2">
        <v>-0.25</v>
      </c>
      <c r="G7" s="3">
        <f t="shared" ref="G7:G15" si="0">AVERAGE(E7:E8)</f>
        <v>4.625</v>
      </c>
      <c r="H7" s="2">
        <f t="shared" ref="H7:H15" si="1">+G7*$F$23</f>
        <v>13.875</v>
      </c>
      <c r="I7" s="4">
        <f>$F$22/H7</f>
        <v>0.72072072072072069</v>
      </c>
      <c r="J7" s="4">
        <f t="shared" ref="J7:J15" si="2">+I7/SQRT(9.81*G7)</f>
        <v>0.10699824046483873</v>
      </c>
      <c r="K7" s="4">
        <f t="shared" ref="K7:K15" si="3">1-J7^2</f>
        <v>0.98855137653742853</v>
      </c>
      <c r="L7" s="4">
        <f t="shared" ref="L7:L15" si="4">(G7*2+$F$23)</f>
        <v>12.25</v>
      </c>
      <c r="M7" s="4">
        <f>+(G7*3)/L7</f>
        <v>1.1326530612244898</v>
      </c>
      <c r="N7" s="5">
        <f t="shared" ref="N7:N15" si="5">($F$21*I7/(M7^(2/3)))^2</f>
        <v>2.129365306744057E-4</v>
      </c>
      <c r="O7" s="5">
        <f t="shared" ref="O7:O15" si="6">$F$20-($F$21*I7/(M7^(2/3)))^2</f>
        <v>7.8706346932559429E-4</v>
      </c>
      <c r="P7" s="3">
        <f t="shared" ref="P7:P15" si="7">ABS(F7*K7/O7)*R7</f>
        <v>-313.99989170647245</v>
      </c>
      <c r="Q7" s="3">
        <f>Q6+P6</f>
        <v>-305.04255925733105</v>
      </c>
      <c r="R7" s="2">
        <v>-1</v>
      </c>
      <c r="AA7">
        <v>2.44</v>
      </c>
      <c r="AB7">
        <v>1.04</v>
      </c>
    </row>
    <row r="8" spans="4:28" x14ac:dyDescent="0.2">
      <c r="D8" s="2">
        <v>3</v>
      </c>
      <c r="E8" s="3">
        <f t="shared" ref="E8:E16" si="8">+E7+F7</f>
        <v>4.5</v>
      </c>
      <c r="F8" s="2">
        <v>-0.25</v>
      </c>
      <c r="G8" s="3">
        <f t="shared" si="0"/>
        <v>4.375</v>
      </c>
      <c r="H8" s="2">
        <f t="shared" si="1"/>
        <v>13.125</v>
      </c>
      <c r="I8" s="4">
        <f>$F$22/H8</f>
        <v>0.76190476190476186</v>
      </c>
      <c r="J8" s="4">
        <f t="shared" si="2"/>
        <v>0.11629931467873574</v>
      </c>
      <c r="K8" s="4">
        <f t="shared" si="3"/>
        <v>0.9864744694052564</v>
      </c>
      <c r="L8" s="4">
        <f t="shared" si="4"/>
        <v>11.75</v>
      </c>
      <c r="M8" s="4">
        <f>+(G8*3)/L8</f>
        <v>1.1170212765957446</v>
      </c>
      <c r="N8" s="5">
        <f t="shared" si="5"/>
        <v>2.4241797002954929E-4</v>
      </c>
      <c r="O8" s="5">
        <f t="shared" si="6"/>
        <v>7.5758202997045073E-4</v>
      </c>
      <c r="P8" s="3">
        <f t="shared" si="7"/>
        <v>-325.53387962612231</v>
      </c>
      <c r="Q8" s="3">
        <f t="shared" ref="Q8:Q16" si="9">Q7+P7</f>
        <v>-619.0424509638035</v>
      </c>
      <c r="R8" s="2">
        <v>-1</v>
      </c>
      <c r="AA8">
        <v>2.44</v>
      </c>
      <c r="AB8">
        <v>1.04</v>
      </c>
    </row>
    <row r="9" spans="4:28" x14ac:dyDescent="0.2">
      <c r="D9" s="2">
        <v>4</v>
      </c>
      <c r="E9" s="3">
        <f t="shared" si="8"/>
        <v>4.25</v>
      </c>
      <c r="F9" s="2">
        <v>-0.25</v>
      </c>
      <c r="G9" s="3">
        <f t="shared" si="0"/>
        <v>4.125</v>
      </c>
      <c r="H9" s="2">
        <f t="shared" si="1"/>
        <v>12.375</v>
      </c>
      <c r="I9" s="4">
        <f t="shared" ref="I9:I15" si="10">$F$22/H9</f>
        <v>0.80808080808080807</v>
      </c>
      <c r="J9" s="4">
        <f t="shared" si="2"/>
        <v>0.12703058914162116</v>
      </c>
      <c r="K9" s="4">
        <f t="shared" si="3"/>
        <v>0.98386322942233262</v>
      </c>
      <c r="L9" s="4">
        <f t="shared" si="4"/>
        <v>11.25</v>
      </c>
      <c r="M9" s="4">
        <f>+(G9*3)/L9</f>
        <v>1.1000000000000001</v>
      </c>
      <c r="N9" s="5">
        <f t="shared" si="5"/>
        <v>2.7833299929828833E-4</v>
      </c>
      <c r="O9" s="5">
        <f t="shared" si="6"/>
        <v>7.2166700070171175E-4</v>
      </c>
      <c r="P9" s="3">
        <f t="shared" si="7"/>
        <v>-340.83006028600266</v>
      </c>
      <c r="Q9" s="3">
        <f t="shared" si="9"/>
        <v>-944.57633058992587</v>
      </c>
      <c r="R9" s="2">
        <v>-1</v>
      </c>
      <c r="AA9">
        <v>2.44</v>
      </c>
      <c r="AB9">
        <v>1.04</v>
      </c>
    </row>
    <row r="10" spans="4:28" x14ac:dyDescent="0.2">
      <c r="D10" s="2">
        <v>5</v>
      </c>
      <c r="E10" s="3">
        <f t="shared" si="8"/>
        <v>4</v>
      </c>
      <c r="F10" s="2">
        <v>-0.25</v>
      </c>
      <c r="G10" s="3">
        <f t="shared" si="0"/>
        <v>3.875</v>
      </c>
      <c r="H10" s="2">
        <f t="shared" si="1"/>
        <v>11.625</v>
      </c>
      <c r="I10" s="4">
        <f t="shared" si="10"/>
        <v>0.86021505376344087</v>
      </c>
      <c r="J10" s="4">
        <f t="shared" si="2"/>
        <v>0.13952006866489683</v>
      </c>
      <c r="K10" s="4">
        <f t="shared" si="3"/>
        <v>0.98053415043974246</v>
      </c>
      <c r="L10" s="4">
        <f t="shared" si="4"/>
        <v>10.75</v>
      </c>
      <c r="M10" s="4">
        <f t="shared" ref="M10:M15" si="11">+(G10*3)/L10</f>
        <v>1.0813953488372092</v>
      </c>
      <c r="N10" s="5">
        <f t="shared" si="5"/>
        <v>3.2266122287948653E-4</v>
      </c>
      <c r="O10" s="5">
        <f t="shared" si="6"/>
        <v>6.7733877712051354E-4</v>
      </c>
      <c r="P10" s="3">
        <f t="shared" si="7"/>
        <v>-361.90684173146184</v>
      </c>
      <c r="Q10" s="3">
        <f t="shared" si="9"/>
        <v>-1285.4063908759285</v>
      </c>
      <c r="R10" s="2">
        <v>-1</v>
      </c>
      <c r="AA10">
        <v>2.44</v>
      </c>
      <c r="AB10">
        <v>1.04</v>
      </c>
    </row>
    <row r="11" spans="4:28" x14ac:dyDescent="0.2">
      <c r="D11" s="2">
        <v>6</v>
      </c>
      <c r="E11" s="3">
        <f t="shared" si="8"/>
        <v>3.75</v>
      </c>
      <c r="F11" s="2">
        <v>-0.25</v>
      </c>
      <c r="G11" s="3">
        <f t="shared" si="0"/>
        <v>3.625</v>
      </c>
      <c r="H11" s="2">
        <f t="shared" si="1"/>
        <v>10.875</v>
      </c>
      <c r="I11" s="4">
        <f t="shared" si="10"/>
        <v>0.91954022988505746</v>
      </c>
      <c r="J11" s="4">
        <f t="shared" si="2"/>
        <v>0.1541992371637316</v>
      </c>
      <c r="K11" s="4">
        <f t="shared" si="3"/>
        <v>0.97622259525812327</v>
      </c>
      <c r="L11" s="4">
        <f t="shared" si="4"/>
        <v>10.25</v>
      </c>
      <c r="M11" s="4">
        <f t="shared" si="11"/>
        <v>1.0609756097560976</v>
      </c>
      <c r="N11" s="5">
        <f t="shared" si="5"/>
        <v>3.7819254474689274E-4</v>
      </c>
      <c r="O11" s="5">
        <f t="shared" si="6"/>
        <v>6.2180745525310728E-4</v>
      </c>
      <c r="P11" s="3">
        <f t="shared" si="7"/>
        <v>-392.49392517364998</v>
      </c>
      <c r="Q11" s="3">
        <f t="shared" si="9"/>
        <v>-1647.3132326073903</v>
      </c>
      <c r="R11" s="2">
        <v>-1</v>
      </c>
      <c r="AA11">
        <v>2.44</v>
      </c>
      <c r="AB11">
        <v>1.04</v>
      </c>
    </row>
    <row r="12" spans="4:28" x14ac:dyDescent="0.2">
      <c r="D12" s="2">
        <v>7</v>
      </c>
      <c r="E12" s="3">
        <f t="shared" si="8"/>
        <v>3.5</v>
      </c>
      <c r="F12" s="2">
        <v>-0.25</v>
      </c>
      <c r="G12" s="3">
        <f t="shared" si="0"/>
        <v>3.375</v>
      </c>
      <c r="H12" s="2">
        <f t="shared" si="1"/>
        <v>10.125</v>
      </c>
      <c r="I12" s="4">
        <f t="shared" si="10"/>
        <v>0.98765432098765427</v>
      </c>
      <c r="J12" s="4">
        <f t="shared" si="2"/>
        <v>0.17164595599578053</v>
      </c>
      <c r="K12" s="4">
        <f t="shared" si="3"/>
        <v>0.97053766579029455</v>
      </c>
      <c r="L12" s="4">
        <f t="shared" si="4"/>
        <v>9.75</v>
      </c>
      <c r="M12" s="4">
        <f t="shared" si="11"/>
        <v>1.0384615384615385</v>
      </c>
      <c r="N12" s="5">
        <f t="shared" si="5"/>
        <v>4.4895354961127466E-4</v>
      </c>
      <c r="O12" s="5">
        <f t="shared" si="6"/>
        <v>5.5104645038872536E-4</v>
      </c>
      <c r="P12" s="3">
        <f t="shared" si="7"/>
        <v>-440.31572343204778</v>
      </c>
      <c r="Q12" s="3">
        <f t="shared" si="9"/>
        <v>-2039.8071577810404</v>
      </c>
      <c r="R12" s="2">
        <v>-1</v>
      </c>
      <c r="AA12">
        <v>2.44</v>
      </c>
      <c r="AB12">
        <v>1.04</v>
      </c>
    </row>
    <row r="13" spans="4:28" x14ac:dyDescent="0.2">
      <c r="D13" s="2">
        <v>8</v>
      </c>
      <c r="E13" s="3">
        <f t="shared" si="8"/>
        <v>3.25</v>
      </c>
      <c r="F13" s="2">
        <v>-0.25</v>
      </c>
      <c r="G13" s="3">
        <f t="shared" si="0"/>
        <v>3.125</v>
      </c>
      <c r="H13" s="2">
        <f t="shared" si="1"/>
        <v>9.375</v>
      </c>
      <c r="I13" s="4">
        <f t="shared" si="10"/>
        <v>1.0666666666666667</v>
      </c>
      <c r="J13" s="4">
        <f t="shared" si="2"/>
        <v>0.19265008682057849</v>
      </c>
      <c r="K13" s="4">
        <f t="shared" si="3"/>
        <v>0.96288594404802352</v>
      </c>
      <c r="L13" s="4">
        <f t="shared" si="4"/>
        <v>9.25</v>
      </c>
      <c r="M13" s="4">
        <f t="shared" si="11"/>
        <v>1.0135135135135136</v>
      </c>
      <c r="N13" s="5">
        <f t="shared" si="5"/>
        <v>5.4091631902150345E-4</v>
      </c>
      <c r="O13" s="5">
        <f t="shared" si="6"/>
        <v>4.5908368097849657E-4</v>
      </c>
      <c r="P13" s="3">
        <f t="shared" si="7"/>
        <v>-524.35208652794881</v>
      </c>
      <c r="Q13" s="3">
        <f t="shared" si="9"/>
        <v>-2480.122881213088</v>
      </c>
      <c r="R13" s="2">
        <v>-1</v>
      </c>
      <c r="AA13">
        <v>2.44</v>
      </c>
      <c r="AB13">
        <v>1.04</v>
      </c>
    </row>
    <row r="14" spans="4:28" x14ac:dyDescent="0.2">
      <c r="D14" s="2">
        <v>9</v>
      </c>
      <c r="E14" s="3">
        <f t="shared" si="8"/>
        <v>3</v>
      </c>
      <c r="F14" s="2">
        <v>-0.25</v>
      </c>
      <c r="G14" s="3">
        <f t="shared" si="0"/>
        <v>2.875</v>
      </c>
      <c r="H14" s="2">
        <f t="shared" si="1"/>
        <v>8.625</v>
      </c>
      <c r="I14" s="4">
        <f t="shared" si="10"/>
        <v>1.1594202898550725</v>
      </c>
      <c r="J14" s="4">
        <f t="shared" si="2"/>
        <v>0.21831695636650822</v>
      </c>
      <c r="K14" s="4">
        <f t="shared" si="3"/>
        <v>0.95233770656286409</v>
      </c>
      <c r="L14" s="4">
        <f t="shared" si="4"/>
        <v>8.75</v>
      </c>
      <c r="M14" s="4">
        <f t="shared" si="11"/>
        <v>0.98571428571428577</v>
      </c>
      <c r="N14" s="5">
        <f t="shared" si="5"/>
        <v>6.6322224829144013E-4</v>
      </c>
      <c r="O14" s="5">
        <f t="shared" si="6"/>
        <v>3.3677775170855989E-4</v>
      </c>
      <c r="P14" s="3">
        <f t="shared" si="7"/>
        <v>-706.94820377193173</v>
      </c>
      <c r="Q14" s="3">
        <f t="shared" si="9"/>
        <v>-3004.4749677410368</v>
      </c>
      <c r="R14" s="2">
        <v>-1</v>
      </c>
      <c r="AA14">
        <v>2.44</v>
      </c>
      <c r="AB14">
        <v>1.04</v>
      </c>
    </row>
    <row r="15" spans="4:28" x14ac:dyDescent="0.2">
      <c r="D15" s="2">
        <v>10</v>
      </c>
      <c r="E15" s="3">
        <f t="shared" si="8"/>
        <v>2.75</v>
      </c>
      <c r="F15" s="2">
        <v>-0.31</v>
      </c>
      <c r="G15" s="3">
        <f t="shared" si="0"/>
        <v>2.5949999999999998</v>
      </c>
      <c r="H15" s="2">
        <f t="shared" si="1"/>
        <v>7.7849999999999993</v>
      </c>
      <c r="I15" s="4">
        <f t="shared" si="10"/>
        <v>1.2845215157353886</v>
      </c>
      <c r="J15" s="4">
        <f t="shared" si="2"/>
        <v>0.25458815767591952</v>
      </c>
      <c r="K15" s="4">
        <f t="shared" si="3"/>
        <v>0.93518486997118111</v>
      </c>
      <c r="L15" s="4">
        <f t="shared" si="4"/>
        <v>8.19</v>
      </c>
      <c r="M15" s="4">
        <f t="shared" si="11"/>
        <v>0.9505494505494505</v>
      </c>
      <c r="N15" s="5">
        <f t="shared" si="5"/>
        <v>8.5446676317344785E-4</v>
      </c>
      <c r="O15" s="5">
        <f t="shared" si="6"/>
        <v>1.4553323682655217E-4</v>
      </c>
      <c r="P15" s="3">
        <f t="shared" si="7"/>
        <v>-1992.0350568205963</v>
      </c>
      <c r="Q15" s="3">
        <f t="shared" si="9"/>
        <v>-3711.4231715129686</v>
      </c>
      <c r="R15" s="2">
        <v>-1</v>
      </c>
      <c r="AA15">
        <v>2.44</v>
      </c>
      <c r="AB15">
        <v>1.04</v>
      </c>
    </row>
    <row r="16" spans="4:28" x14ac:dyDescent="0.2">
      <c r="D16" s="2">
        <v>11</v>
      </c>
      <c r="E16" s="3">
        <f t="shared" si="8"/>
        <v>2.44</v>
      </c>
      <c r="Q16" s="3">
        <f t="shared" si="9"/>
        <v>-5703.4582283335649</v>
      </c>
      <c r="AA16">
        <v>2.44</v>
      </c>
      <c r="AB16">
        <v>1.04</v>
      </c>
    </row>
    <row r="19" spans="5:6" x14ac:dyDescent="0.2">
      <c r="E19" s="10" t="s">
        <v>35</v>
      </c>
      <c r="F19" s="10"/>
    </row>
    <row r="20" spans="5:6" x14ac:dyDescent="0.2">
      <c r="E20" s="2" t="s">
        <v>11</v>
      </c>
      <c r="F20" s="2">
        <v>1E-3</v>
      </c>
    </row>
    <row r="21" spans="5:6" x14ac:dyDescent="0.2">
      <c r="E21" s="2" t="s">
        <v>12</v>
      </c>
      <c r="F21" s="2">
        <v>2.1999999999999999E-2</v>
      </c>
    </row>
    <row r="22" spans="5:6" x14ac:dyDescent="0.2">
      <c r="E22" s="2" t="s">
        <v>13</v>
      </c>
      <c r="F22" s="2">
        <v>10</v>
      </c>
    </row>
    <row r="23" spans="5:6" x14ac:dyDescent="0.2">
      <c r="E23" s="2" t="s">
        <v>14</v>
      </c>
      <c r="F23" s="2">
        <v>3</v>
      </c>
    </row>
  </sheetData>
  <mergeCells count="1">
    <mergeCell ref="E19:F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6305-58E6-42A7-87E7-69B681CF1552}">
  <dimension ref="B4:AV34"/>
  <sheetViews>
    <sheetView showGridLines="0" tabSelected="1" topLeftCell="E3" zoomScale="70" zoomScaleNormal="70" workbookViewId="0">
      <selection activeCell="AJ30" sqref="AJ30"/>
    </sheetView>
  </sheetViews>
  <sheetFormatPr baseColWidth="10" defaultColWidth="8.83203125" defaultRowHeight="15" x14ac:dyDescent="0.2"/>
  <cols>
    <col min="19" max="19" width="8.83203125" style="7"/>
    <col min="37" max="37" width="8.83203125" style="7"/>
  </cols>
  <sheetData>
    <row r="4" spans="2:37" x14ac:dyDescent="0.2">
      <c r="D4" s="11" t="s">
        <v>26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T4" s="11" t="s">
        <v>25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2:37" x14ac:dyDescent="0.2">
      <c r="B5" s="7"/>
      <c r="C5" s="7"/>
      <c r="D5" s="1" t="s">
        <v>0</v>
      </c>
      <c r="E5" s="1" t="s">
        <v>10</v>
      </c>
      <c r="F5" s="1" t="s">
        <v>1</v>
      </c>
      <c r="G5" s="1" t="s">
        <v>2</v>
      </c>
      <c r="H5" s="1" t="s">
        <v>15</v>
      </c>
      <c r="I5" s="1" t="s">
        <v>3</v>
      </c>
      <c r="J5" s="1" t="s">
        <v>4</v>
      </c>
      <c r="K5" s="1" t="s">
        <v>5</v>
      </c>
      <c r="L5" s="1" t="s">
        <v>16</v>
      </c>
      <c r="M5" s="1" t="s">
        <v>6</v>
      </c>
      <c r="N5" s="1" t="s">
        <v>17</v>
      </c>
      <c r="O5" s="1" t="s">
        <v>7</v>
      </c>
      <c r="P5" s="1" t="s">
        <v>8</v>
      </c>
      <c r="Q5" s="1" t="s">
        <v>9</v>
      </c>
      <c r="R5" s="1" t="s">
        <v>34</v>
      </c>
      <c r="T5" s="1" t="s">
        <v>0</v>
      </c>
      <c r="U5" s="1" t="s">
        <v>10</v>
      </c>
      <c r="V5" s="1" t="s">
        <v>1</v>
      </c>
      <c r="W5" s="1" t="s">
        <v>2</v>
      </c>
      <c r="X5" s="1" t="s">
        <v>15</v>
      </c>
      <c r="Y5" s="1" t="s">
        <v>36</v>
      </c>
      <c r="Z5" s="1" t="s">
        <v>37</v>
      </c>
      <c r="AA5" s="1" t="s">
        <v>3</v>
      </c>
      <c r="AB5" s="1" t="s">
        <v>4</v>
      </c>
      <c r="AC5" s="1" t="s">
        <v>5</v>
      </c>
      <c r="AD5" s="1" t="s">
        <v>16</v>
      </c>
      <c r="AE5" s="1" t="s">
        <v>6</v>
      </c>
      <c r="AF5" s="1" t="s">
        <v>17</v>
      </c>
      <c r="AG5" s="1" t="s">
        <v>7</v>
      </c>
      <c r="AH5" s="1" t="s">
        <v>8</v>
      </c>
      <c r="AI5" s="1" t="s">
        <v>9</v>
      </c>
      <c r="AJ5" s="1" t="s">
        <v>34</v>
      </c>
    </row>
    <row r="6" spans="2:37" x14ac:dyDescent="0.2">
      <c r="B6" s="8">
        <f>E6+C6</f>
        <v>0.87860000000000005</v>
      </c>
      <c r="C6" s="7">
        <f>-0.001*Q6</f>
        <v>0</v>
      </c>
      <c r="D6" s="2">
        <v>1</v>
      </c>
      <c r="E6" s="5">
        <v>0.87860000000000005</v>
      </c>
      <c r="F6" s="2">
        <v>0.01</v>
      </c>
      <c r="G6" s="3">
        <f t="shared" ref="G6:G17" si="0">AVERAGE(E6:E7)</f>
        <v>0.88360000000000005</v>
      </c>
      <c r="H6" s="2">
        <f>($U$25+$U$26*G6)*G6</f>
        <v>2.4965234400000003</v>
      </c>
      <c r="I6" s="4">
        <f>$U$24/H6</f>
        <v>2.4033421452674202</v>
      </c>
      <c r="J6" s="4">
        <f>($U$24*SQRT($U$25+3*G6))/(SQRT(9.81)*($U$25*G6+1.5*G6^2)^(3/2))</f>
        <v>0.98941656854560656</v>
      </c>
      <c r="K6" s="4">
        <f>1-J6^2</f>
        <v>2.1054853887436997E-2</v>
      </c>
      <c r="L6" s="4">
        <f>$U$25+2*G6*SQRT(1+$U$26^2)</f>
        <v>4.685865106999981</v>
      </c>
      <c r="M6" s="4">
        <f>+(H6)/L6</f>
        <v>0.53277748782622192</v>
      </c>
      <c r="N6" s="5">
        <f>($U$23*$U$24/(H6*M6^(2/3)))^2</f>
        <v>2.7346943415819964E-3</v>
      </c>
      <c r="O6" s="5">
        <f>$U$21-($U$23*I6/(M6^(2/3)))^2</f>
        <v>-1.7346943415819964E-3</v>
      </c>
      <c r="P6" s="3">
        <f>ABS(F6*K6/O6)</f>
        <v>0.12137500758914978</v>
      </c>
      <c r="Q6" s="2">
        <v>0</v>
      </c>
      <c r="R6" s="2">
        <v>-1</v>
      </c>
      <c r="S6" s="7">
        <f>0.015*AI6</f>
        <v>0</v>
      </c>
      <c r="T6" s="2">
        <v>1</v>
      </c>
      <c r="U6" s="5">
        <v>0.87860000000000005</v>
      </c>
      <c r="V6" s="2">
        <v>-0.01</v>
      </c>
      <c r="W6" s="3">
        <f t="shared" ref="W6:W17" si="1">AVERAGE(U6:U7)</f>
        <v>0.87360000000000004</v>
      </c>
      <c r="X6" s="2">
        <f>W6*($U$25+$U$26*W6)</f>
        <v>2.45516544</v>
      </c>
      <c r="Y6" s="2">
        <f>$U$25+2*$U$26*W6</f>
        <v>4.1208</v>
      </c>
      <c r="Z6" s="2">
        <f>X6/Y6</f>
        <v>0.59579825276645315</v>
      </c>
      <c r="AA6" s="4">
        <f>$U$24/X6</f>
        <v>2.4438271662866025</v>
      </c>
      <c r="AB6" s="4">
        <f>AA6/SQRT(9.81*Z6)</f>
        <v>1.0108492004471434</v>
      </c>
      <c r="AC6" s="4">
        <f>1-AB6^2</f>
        <v>-2.1816106044629135E-2</v>
      </c>
      <c r="AD6" s="4">
        <f>$U$25+2*W6*SQRT(1+$U$26^2)</f>
        <v>4.6498095942453412</v>
      </c>
      <c r="AE6" s="4">
        <f>+X6/AD6</f>
        <v>0.52801418858925786</v>
      </c>
      <c r="AF6" s="5">
        <f>($U$24*$U$23/(X6*AE6^(2/3)))^2</f>
        <v>2.8616658943414358E-3</v>
      </c>
      <c r="AG6" s="5">
        <f>$U$22-($U$23*AA6/(AE6^(2/3)))^2</f>
        <v>1.2138334105658562E-2</v>
      </c>
      <c r="AH6" s="3">
        <f>ABS(V6*AC6/AG6)</f>
        <v>1.7972899620928261E-2</v>
      </c>
      <c r="AI6" s="2">
        <v>0</v>
      </c>
      <c r="AJ6" s="2">
        <v>1</v>
      </c>
      <c r="AK6" s="8">
        <f>U6+S6</f>
        <v>0.87860000000000005</v>
      </c>
    </row>
    <row r="7" spans="2:37" x14ac:dyDescent="0.2">
      <c r="B7" s="8">
        <f t="shared" ref="B7:B18" si="2">E7+C7</f>
        <v>0.88872137500758919</v>
      </c>
      <c r="C7" s="7">
        <f t="shared" ref="C7:C18" si="3">-0.001*Q7</f>
        <v>1.2137500758914978E-4</v>
      </c>
      <c r="D7" s="2">
        <v>2</v>
      </c>
      <c r="E7" s="5">
        <f>+E6+F6</f>
        <v>0.88860000000000006</v>
      </c>
      <c r="F7" s="2">
        <v>0.01</v>
      </c>
      <c r="G7" s="3">
        <f t="shared" si="0"/>
        <v>0.89360000000000006</v>
      </c>
      <c r="H7" s="2">
        <f>($U$25+$U$26*G7)*G7</f>
        <v>2.5381814399999998</v>
      </c>
      <c r="I7" s="4">
        <f>$U$24/H7</f>
        <v>2.3638972003514453</v>
      </c>
      <c r="J7" s="4">
        <f>($U$24*SQRT($U$25+3*G7))/(SQRT(9.81)*($U$25*G7+1.5*G7^2)^(3/2))</f>
        <v>0.96864010590366878</v>
      </c>
      <c r="K7" s="4">
        <f t="shared" ref="K7:K17" si="4">1-J7^2</f>
        <v>6.1736345234929324E-2</v>
      </c>
      <c r="L7" s="4">
        <f>$U$25+2*G7*SQRT(1+$U$26^2)</f>
        <v>4.7219206197546209</v>
      </c>
      <c r="M7" s="4">
        <f t="shared" ref="M7:M15" si="5">+(H7)/L7</f>
        <v>0.53753157759181025</v>
      </c>
      <c r="N7" s="5">
        <f>($U$23*I7/(M7^(2/3)))^2</f>
        <v>2.614511789921586E-3</v>
      </c>
      <c r="O7" s="5">
        <f>$U$21-($U$23*I7/(M7^(2/3)))^2</f>
        <v>-1.6145117899215859E-3</v>
      </c>
      <c r="P7" s="3">
        <f t="shared" ref="P7:P17" si="6">ABS(F7*K7/O7)</f>
        <v>0.38238398517936961</v>
      </c>
      <c r="Q7" s="3">
        <f t="shared" ref="Q7:Q17" si="7">+Q6+P6*R6</f>
        <v>-0.12137500758914978</v>
      </c>
      <c r="R7" s="2">
        <v>-1</v>
      </c>
      <c r="S7" s="7">
        <f>-0.015*AI7</f>
        <v>-2.6959349431392388E-4</v>
      </c>
      <c r="T7" s="2">
        <v>2</v>
      </c>
      <c r="U7" s="5">
        <f>+U6+V6</f>
        <v>0.86860000000000004</v>
      </c>
      <c r="V7" s="2">
        <v>-0.01</v>
      </c>
      <c r="W7" s="3">
        <f t="shared" si="1"/>
        <v>0.86360000000000003</v>
      </c>
      <c r="X7" s="2">
        <f>W7*($U$25+$U$26*W7)</f>
        <v>2.41410744</v>
      </c>
      <c r="Y7" s="2">
        <f t="shared" ref="Y7:Y17" si="8">$U$25+2*$U$26*W7</f>
        <v>4.0907999999999998</v>
      </c>
      <c r="Z7" s="2">
        <f t="shared" ref="Z7:Z17" si="9">X7/Y7</f>
        <v>0.59013088882370202</v>
      </c>
      <c r="AA7" s="4">
        <f>$U$24/X7</f>
        <v>2.4853906253650417</v>
      </c>
      <c r="AB7" s="4">
        <f>AA7/SQRT(9.81*Z7)</f>
        <v>1.0329658848974821</v>
      </c>
      <c r="AC7" s="4">
        <f t="shared" ref="AC7:AC17" si="10">1-AB7^2</f>
        <v>-6.7018519362038287E-2</v>
      </c>
      <c r="AD7" s="4">
        <f>$U$25+2*W7*SQRT(1+$U$26^2)</f>
        <v>4.6137540814907005</v>
      </c>
      <c r="AE7" s="4">
        <f>+X7/AD7</f>
        <v>0.52324146397070292</v>
      </c>
      <c r="AF7" s="5">
        <f>($U$24*$U$23/(X7*AE7^(2/3)))^2</f>
        <v>2.9958853130903564E-3</v>
      </c>
      <c r="AG7" s="5">
        <f t="shared" ref="AG7:AG17" si="11">$U$22-($U$23*AA7/(AE7^(2/3)))^2</f>
        <v>1.2004114686909644E-2</v>
      </c>
      <c r="AH7" s="3">
        <f t="shared" ref="AH7:AH17" si="12">ABS(V7*AC7/AG7)</f>
        <v>5.5829622683563042E-2</v>
      </c>
      <c r="AI7" s="3">
        <f t="shared" ref="AI7:AI18" si="13">+AI6+AH6*AJ6</f>
        <v>1.7972899620928261E-2</v>
      </c>
      <c r="AJ7" s="2">
        <v>1</v>
      </c>
      <c r="AK7" s="8">
        <f t="shared" ref="AK7:AK18" si="14">U7+S7</f>
        <v>0.86833040650568616</v>
      </c>
    </row>
    <row r="8" spans="2:37" x14ac:dyDescent="0.2">
      <c r="B8" s="8">
        <f t="shared" si="2"/>
        <v>0.89910375899276862</v>
      </c>
      <c r="C8" s="7">
        <f t="shared" si="3"/>
        <v>5.0375899276851939E-4</v>
      </c>
      <c r="D8" s="2">
        <v>3</v>
      </c>
      <c r="E8" s="5">
        <f t="shared" ref="E8:E15" si="15">+E7+F7</f>
        <v>0.89860000000000007</v>
      </c>
      <c r="F8" s="2">
        <v>0.01</v>
      </c>
      <c r="G8" s="3">
        <f t="shared" si="0"/>
        <v>0.90360000000000007</v>
      </c>
      <c r="H8" s="2">
        <f>($U$25+$U$26*G8)*G8</f>
        <v>2.5801394400000004</v>
      </c>
      <c r="I8" s="4">
        <f>$U$24/H8</f>
        <v>2.3254557125796267</v>
      </c>
      <c r="J8" s="4">
        <f>($U$24*SQRT($U$25+3*G8))/(SQRT(9.81)*($U$25*G8+1.5*G8^2)^(3/2))</f>
        <v>0.94849334417781705</v>
      </c>
      <c r="K8" s="4">
        <f t="shared" si="4"/>
        <v>0.10036037605038106</v>
      </c>
      <c r="L8" s="4">
        <f>$U$25+2*G8*SQRT(1+$U$26^2)</f>
        <v>4.7579761325092607</v>
      </c>
      <c r="M8" s="4">
        <f t="shared" si="5"/>
        <v>0.54227666725164658</v>
      </c>
      <c r="N8" s="5">
        <f>($U$23*I8/(M8^(2/3)))^2</f>
        <v>2.5006927200167959E-3</v>
      </c>
      <c r="O8" s="5">
        <f>$U$21-($U$23*I8/(M8^(2/3)))^2</f>
        <v>-1.5006927200167958E-3</v>
      </c>
      <c r="P8" s="3">
        <f t="shared" si="6"/>
        <v>0.66876033122395517</v>
      </c>
      <c r="Q8" s="3">
        <f t="shared" si="7"/>
        <v>-0.50375899276851943</v>
      </c>
      <c r="R8" s="2">
        <v>-1</v>
      </c>
      <c r="S8" s="7">
        <f t="shared" ref="S8:S18" si="16">-0.015*AI8</f>
        <v>-1.1070378345673696E-3</v>
      </c>
      <c r="T8" s="2">
        <v>3</v>
      </c>
      <c r="U8" s="5">
        <f t="shared" ref="U8:U18" si="17">+U7+V7</f>
        <v>0.85860000000000003</v>
      </c>
      <c r="V8" s="2">
        <v>-0.02</v>
      </c>
      <c r="W8" s="3">
        <f t="shared" si="1"/>
        <v>0.84860000000000002</v>
      </c>
      <c r="X8" s="2">
        <f>W8*($U$25+$U$26*W8)</f>
        <v>2.3530829400000002</v>
      </c>
      <c r="Y8" s="2">
        <f t="shared" si="8"/>
        <v>4.0457999999999998</v>
      </c>
      <c r="Z8" s="2">
        <f t="shared" si="9"/>
        <v>0.58161128577784371</v>
      </c>
      <c r="AA8" s="4">
        <f>$U$24/X8</f>
        <v>2.549846373030948</v>
      </c>
      <c r="AB8" s="4">
        <f>AA8/SQRT(9.81*Z8)</f>
        <v>1.0674882390947049</v>
      </c>
      <c r="AC8" s="4">
        <f t="shared" si="10"/>
        <v>-0.13953114060551397</v>
      </c>
      <c r="AD8" s="4">
        <f>$U$25+2*W8*SQRT(1+$U$26^2)</f>
        <v>4.5596708123587408</v>
      </c>
      <c r="AE8" s="4">
        <f t="shared" ref="AE8:AE17" si="18">+X8/AD8</f>
        <v>0.51606421534249713</v>
      </c>
      <c r="AF8" s="5">
        <f>($U$24*$U$23/(X8*AE8^(2/3)))^2</f>
        <v>3.21189824430473E-3</v>
      </c>
      <c r="AG8" s="5">
        <f t="shared" si="11"/>
        <v>1.1788101755695269E-2</v>
      </c>
      <c r="AH8" s="3">
        <f t="shared" si="12"/>
        <v>0.23673216179712958</v>
      </c>
      <c r="AI8" s="3">
        <f t="shared" si="13"/>
        <v>7.3802522304491303E-2</v>
      </c>
      <c r="AJ8" s="2">
        <v>1</v>
      </c>
      <c r="AK8" s="8">
        <f t="shared" si="14"/>
        <v>0.85749296216543269</v>
      </c>
    </row>
    <row r="9" spans="2:37" x14ac:dyDescent="0.2">
      <c r="B9" s="8">
        <f t="shared" si="2"/>
        <v>0.9097725193239925</v>
      </c>
      <c r="C9" s="7">
        <f t="shared" si="3"/>
        <v>1.1725193239924745E-3</v>
      </c>
      <c r="D9" s="2">
        <v>4</v>
      </c>
      <c r="E9" s="5">
        <f t="shared" si="15"/>
        <v>0.90860000000000007</v>
      </c>
      <c r="F9" s="2">
        <v>0.01</v>
      </c>
      <c r="G9" s="3">
        <f t="shared" si="0"/>
        <v>0.91360000000000008</v>
      </c>
      <c r="H9" s="2">
        <f>($U$25+$U$26*G9)*G9</f>
        <v>2.6223974400000003</v>
      </c>
      <c r="I9" s="4">
        <f>$U$24/H9</f>
        <v>2.2879827094401066</v>
      </c>
      <c r="J9" s="4">
        <f>($U$24*SQRT($U$25+3*G9))/(SQRT(9.81)*($U$25*G9+1.5*G9^2)^(3/2))</f>
        <v>0.92895114401394696</v>
      </c>
      <c r="K9" s="4">
        <f t="shared" si="4"/>
        <v>0.13704977203517921</v>
      </c>
      <c r="L9" s="4">
        <f>$U$25+2*G9*SQRT(1+$U$26^2)</f>
        <v>4.7940316452639014</v>
      </c>
      <c r="M9" s="4">
        <f t="shared" si="5"/>
        <v>0.54701295987286769</v>
      </c>
      <c r="N9" s="5">
        <f>($U$23*I9/(M9^(2/3)))^2</f>
        <v>2.3928422229370812E-3</v>
      </c>
      <c r="O9" s="5">
        <f>$U$21-($U$23*I9/(M9^(2/3)))^2</f>
        <v>-1.3928422229370812E-3</v>
      </c>
      <c r="P9" s="3">
        <f t="shared" si="6"/>
        <v>0.98395762117393937</v>
      </c>
      <c r="Q9" s="3">
        <f t="shared" si="7"/>
        <v>-1.1725193239924745</v>
      </c>
      <c r="R9" s="2">
        <v>-1</v>
      </c>
      <c r="S9" s="7">
        <f t="shared" si="16"/>
        <v>-4.6580202615243132E-3</v>
      </c>
      <c r="T9" s="2">
        <v>4</v>
      </c>
      <c r="U9" s="5">
        <f t="shared" si="17"/>
        <v>0.83860000000000001</v>
      </c>
      <c r="V9" s="2">
        <v>-0.02</v>
      </c>
      <c r="W9" s="3">
        <f t="shared" si="1"/>
        <v>0.8286</v>
      </c>
      <c r="X9" s="2">
        <f t="shared" ref="X9:X17" si="19">W9*($U$25+$U$26*W9)</f>
        <v>2.2727669399999999</v>
      </c>
      <c r="Y9" s="2">
        <f t="shared" si="8"/>
        <v>3.9858000000000002</v>
      </c>
      <c r="Z9" s="2">
        <f t="shared" si="9"/>
        <v>0.57021600180641274</v>
      </c>
      <c r="AA9" s="4">
        <f>$U$24/X9</f>
        <v>2.6399539233002045</v>
      </c>
      <c r="AB9" s="4">
        <f t="shared" ref="AB9:AB17" si="20">AA9/SQRT(9.81*Z9)</f>
        <v>1.1162003206279414</v>
      </c>
      <c r="AC9" s="4">
        <f t="shared" si="10"/>
        <v>-0.24590315576991917</v>
      </c>
      <c r="AD9" s="4">
        <f>$U$25+2*W9*SQRT(1+$U$26^2)</f>
        <v>4.4875597868494612</v>
      </c>
      <c r="AE9" s="4">
        <f t="shared" si="18"/>
        <v>0.50645942292740354</v>
      </c>
      <c r="AF9" s="5">
        <f>($U$24*$U$23/(X9*AE9^(2/3)))^2</f>
        <v>3.5302480980689888E-3</v>
      </c>
      <c r="AG9" s="5">
        <f t="shared" si="11"/>
        <v>1.1469751901931009E-2</v>
      </c>
      <c r="AH9" s="3">
        <f t="shared" si="12"/>
        <v>0.4287854835439287</v>
      </c>
      <c r="AI9" s="3">
        <f t="shared" si="13"/>
        <v>0.31053468410162088</v>
      </c>
      <c r="AJ9" s="2">
        <v>1</v>
      </c>
      <c r="AK9" s="8">
        <f t="shared" si="14"/>
        <v>0.83394197973847572</v>
      </c>
    </row>
    <row r="10" spans="2:37" x14ac:dyDescent="0.2">
      <c r="B10" s="8">
        <f t="shared" si="2"/>
        <v>0.92075647694516649</v>
      </c>
      <c r="C10" s="7">
        <f t="shared" si="3"/>
        <v>2.1564769451664139E-3</v>
      </c>
      <c r="D10" s="2">
        <v>5</v>
      </c>
      <c r="E10" s="5">
        <f t="shared" si="15"/>
        <v>0.91860000000000008</v>
      </c>
      <c r="F10" s="2">
        <v>0.01</v>
      </c>
      <c r="G10" s="3">
        <f t="shared" si="0"/>
        <v>0.92360000000000009</v>
      </c>
      <c r="H10" s="2">
        <f>($U$25+$U$26*G10)*G10</f>
        <v>2.6649554400000004</v>
      </c>
      <c r="I10" s="4">
        <f>$U$24/H10</f>
        <v>2.2514447746263251</v>
      </c>
      <c r="J10" s="4">
        <f>($U$24*SQRT($U$25+3*G10))/(SQRT(9.81)*($U$25*G10+1.5*G10^2)^(3/2))</f>
        <v>0.90998961516660848</v>
      </c>
      <c r="K10" s="4">
        <f t="shared" si="4"/>
        <v>0.17191890028892776</v>
      </c>
      <c r="L10" s="4">
        <f>$U$25+2*G10*SQRT(1+$U$26^2)</f>
        <v>4.8300871580185412</v>
      </c>
      <c r="M10" s="4">
        <f t="shared" si="5"/>
        <v>0.55174065245920978</v>
      </c>
      <c r="N10" s="5">
        <f>($U$23*I10/(M10^(2/3)))^2</f>
        <v>2.2905935148285648E-3</v>
      </c>
      <c r="O10" s="5">
        <f>$U$21-($U$23*I10/(M10^(2/3)))^2</f>
        <v>-1.2905935148285648E-3</v>
      </c>
      <c r="P10" s="3">
        <f t="shared" si="6"/>
        <v>1.3320917726118011</v>
      </c>
      <c r="Q10" s="3">
        <f t="shared" si="7"/>
        <v>-2.1564769451664141</v>
      </c>
      <c r="R10" s="2">
        <v>-1</v>
      </c>
      <c r="S10" s="7">
        <f t="shared" si="16"/>
        <v>-1.1089802514683245E-2</v>
      </c>
      <c r="T10" s="2">
        <v>5</v>
      </c>
      <c r="U10" s="5">
        <f t="shared" si="17"/>
        <v>0.81859999999999999</v>
      </c>
      <c r="V10" s="2">
        <v>-0.05</v>
      </c>
      <c r="W10" s="3">
        <f t="shared" si="1"/>
        <v>0.79359999999999997</v>
      </c>
      <c r="X10" s="2">
        <f t="shared" si="19"/>
        <v>2.1351014399999997</v>
      </c>
      <c r="Y10" s="2">
        <f t="shared" si="8"/>
        <v>3.8807999999999998</v>
      </c>
      <c r="Z10" s="2">
        <f t="shared" si="9"/>
        <v>0.55017043908472474</v>
      </c>
      <c r="AA10" s="4">
        <f>$U$24/X10</f>
        <v>2.8101709303329403</v>
      </c>
      <c r="AB10" s="4">
        <f t="shared" si="20"/>
        <v>1.2096218060453028</v>
      </c>
      <c r="AC10" s="4">
        <f t="shared" si="10"/>
        <v>-0.46318491366030012</v>
      </c>
      <c r="AD10" s="4">
        <f t="shared" ref="AD10:AD17" si="21">$U$25+2*W10*SQRT(1+$U$26^2)</f>
        <v>4.3613654922082219</v>
      </c>
      <c r="AE10" s="4">
        <f t="shared" si="18"/>
        <v>0.48954884515284391</v>
      </c>
      <c r="AF10" s="5">
        <f>($U$24*$U$23/(X10*AE10^(2/3)))^2</f>
        <v>4.1854565865411279E-3</v>
      </c>
      <c r="AG10" s="5">
        <f t="shared" si="11"/>
        <v>1.0814543413458874E-2</v>
      </c>
      <c r="AH10" s="3">
        <f t="shared" si="12"/>
        <v>2.1414908422479448</v>
      </c>
      <c r="AI10" s="3">
        <f t="shared" si="13"/>
        <v>0.73932016764554964</v>
      </c>
      <c r="AJ10" s="2">
        <v>1</v>
      </c>
      <c r="AK10" s="8">
        <f t="shared" si="14"/>
        <v>0.80751019748531672</v>
      </c>
    </row>
    <row r="11" spans="2:37" x14ac:dyDescent="0.2">
      <c r="B11" s="8">
        <f t="shared" si="2"/>
        <v>0.93208856871777834</v>
      </c>
      <c r="C11" s="7">
        <f t="shared" si="3"/>
        <v>3.4885687177782154E-3</v>
      </c>
      <c r="D11" s="2">
        <v>6</v>
      </c>
      <c r="E11" s="5">
        <f t="shared" si="15"/>
        <v>0.92860000000000009</v>
      </c>
      <c r="F11" s="2">
        <v>0.01</v>
      </c>
      <c r="G11" s="3">
        <f t="shared" si="0"/>
        <v>0.9336000000000001</v>
      </c>
      <c r="H11" s="2">
        <f>($U$25+$U$26*G11)*G11</f>
        <v>2.7078134400000007</v>
      </c>
      <c r="I11" s="4">
        <f>$U$24/H11</f>
        <v>2.2158099636288084</v>
      </c>
      <c r="J11" s="4">
        <f>($U$24*SQRT($U$25+3*G11))/(SQRT(9.81)*($U$25*G11+1.5*G11^2)^(3/2))</f>
        <v>0.8915860422047801</v>
      </c>
      <c r="K11" s="4">
        <f t="shared" si="4"/>
        <v>0.20507432934561609</v>
      </c>
      <c r="L11" s="4">
        <f>$U$25+2*G11*SQRT(1+$U$26^2)</f>
        <v>4.866142670773181</v>
      </c>
      <c r="M11" s="4">
        <f t="shared" si="5"/>
        <v>0.5564599361756396</v>
      </c>
      <c r="N11" s="5">
        <f>($U$23*I11/(M11^(2/3)))^2</f>
        <v>2.1936056762582464E-3</v>
      </c>
      <c r="O11" s="5">
        <f>$U$21-($U$23*I11/(M11^(2/3)))^2</f>
        <v>-1.1936056762582464E-3</v>
      </c>
      <c r="P11" s="3">
        <f t="shared" si="6"/>
        <v>1.7181078594439141</v>
      </c>
      <c r="Q11" s="3">
        <f t="shared" si="7"/>
        <v>-3.4885687177782154</v>
      </c>
      <c r="R11" s="2">
        <v>-1</v>
      </c>
      <c r="S11" s="7">
        <f t="shared" si="16"/>
        <v>-4.3212165148402412E-2</v>
      </c>
      <c r="T11" s="2">
        <v>6</v>
      </c>
      <c r="U11" s="5">
        <f t="shared" si="17"/>
        <v>0.76859999999999995</v>
      </c>
      <c r="V11" s="2">
        <v>-0.05</v>
      </c>
      <c r="W11" s="3">
        <f t="shared" si="1"/>
        <v>0.74359999999999993</v>
      </c>
      <c r="X11" s="2">
        <f t="shared" si="19"/>
        <v>1.9448114399999998</v>
      </c>
      <c r="Y11" s="2">
        <f t="shared" si="8"/>
        <v>3.7307999999999999</v>
      </c>
      <c r="Z11" s="2">
        <f t="shared" si="9"/>
        <v>0.52128536506915402</v>
      </c>
      <c r="AA11" s="4">
        <f>$U$24/X11</f>
        <v>3.0851319961384021</v>
      </c>
      <c r="AB11" s="4">
        <f t="shared" si="20"/>
        <v>1.3642736150408843</v>
      </c>
      <c r="AC11" s="4">
        <f t="shared" si="10"/>
        <v>-0.86124249669672293</v>
      </c>
      <c r="AD11" s="4">
        <f t="shared" si="21"/>
        <v>4.181087928435022</v>
      </c>
      <c r="AE11" s="4">
        <f t="shared" si="18"/>
        <v>0.46514483150990354</v>
      </c>
      <c r="AF11" s="5">
        <f t="shared" ref="AF11:AF17" si="22">($U$24*$U$23/(X11*AE11^(2/3)))^2</f>
        <v>5.400516639623429E-3</v>
      </c>
      <c r="AG11" s="5">
        <f t="shared" si="11"/>
        <v>9.5994833603765678E-3</v>
      </c>
      <c r="AH11" s="3">
        <f t="shared" si="12"/>
        <v>4.4858794185301774</v>
      </c>
      <c r="AI11" s="3">
        <f t="shared" si="13"/>
        <v>2.8808110098934945</v>
      </c>
      <c r="AJ11" s="2">
        <v>1</v>
      </c>
      <c r="AK11" s="8">
        <f t="shared" si="14"/>
        <v>0.72538783485159752</v>
      </c>
    </row>
    <row r="12" spans="2:37" x14ac:dyDescent="0.2">
      <c r="B12" s="8">
        <f t="shared" si="2"/>
        <v>0.94380667657722228</v>
      </c>
      <c r="C12" s="7">
        <f t="shared" si="3"/>
        <v>5.2066765772221298E-3</v>
      </c>
      <c r="D12" s="2">
        <v>7</v>
      </c>
      <c r="E12" s="5">
        <f t="shared" si="15"/>
        <v>0.9386000000000001</v>
      </c>
      <c r="F12" s="2">
        <v>0.01</v>
      </c>
      <c r="G12" s="3">
        <f t="shared" si="0"/>
        <v>0.94360000000000011</v>
      </c>
      <c r="H12" s="2">
        <f>($U$25+$U$26*G12)*G12</f>
        <v>2.7509714400000003</v>
      </c>
      <c r="I12" s="4">
        <f>$U$24/H12</f>
        <v>2.1810477247266511</v>
      </c>
      <c r="J12" s="4">
        <f>($U$24*SQRT($U$25+3*G12))/(SQRT(9.81)*($U$25*G12+1.5*G12^2)^(3/2))</f>
        <v>0.87371881535924223</v>
      </c>
      <c r="K12" s="4">
        <f t="shared" si="4"/>
        <v>0.23661543168724242</v>
      </c>
      <c r="L12" s="4">
        <f>$U$25+2*G12*SQRT(1+$U$26^2)</f>
        <v>4.9021981835278208</v>
      </c>
      <c r="M12" s="4">
        <f t="shared" si="5"/>
        <v>0.56117099656307434</v>
      </c>
      <c r="N12" s="5">
        <f>($U$23*I12/(M12^(2/3)))^2</f>
        <v>2.101561593875484E-3</v>
      </c>
      <c r="O12" s="5">
        <f>$U$21-($U$23*I12/(M12^(2/3)))^2</f>
        <v>-1.101561593875484E-3</v>
      </c>
      <c r="P12" s="3">
        <f t="shared" si="6"/>
        <v>2.1480000120083025</v>
      </c>
      <c r="Q12" s="3">
        <f t="shared" si="7"/>
        <v>-5.2066765772221295</v>
      </c>
      <c r="R12" s="2">
        <v>-1</v>
      </c>
      <c r="S12" s="7">
        <f t="shared" si="16"/>
        <v>-0.11050035642635507</v>
      </c>
      <c r="T12" s="2">
        <v>7</v>
      </c>
      <c r="U12" s="5">
        <f t="shared" si="17"/>
        <v>0.71859999999999991</v>
      </c>
      <c r="V12" s="2">
        <v>-0.05</v>
      </c>
      <c r="W12" s="3">
        <f t="shared" si="1"/>
        <v>0.69359999999999988</v>
      </c>
      <c r="X12" s="2">
        <f t="shared" si="19"/>
        <v>1.7620214399999996</v>
      </c>
      <c r="Y12" s="2">
        <f t="shared" si="8"/>
        <v>3.5807999999999995</v>
      </c>
      <c r="Z12" s="2">
        <f t="shared" si="9"/>
        <v>0.49207479892761391</v>
      </c>
      <c r="AA12" s="4">
        <f>$U$24/X12</f>
        <v>3.4051799051888958</v>
      </c>
      <c r="AB12" s="4">
        <f t="shared" si="20"/>
        <v>1.5498511729364628</v>
      </c>
      <c r="AC12" s="4">
        <f t="shared" si="10"/>
        <v>-1.4020386582525295</v>
      </c>
      <c r="AD12" s="4">
        <f t="shared" si="21"/>
        <v>4.000810364661822</v>
      </c>
      <c r="AE12" s="4">
        <f t="shared" si="18"/>
        <v>0.44041613558180698</v>
      </c>
      <c r="AF12" s="5">
        <f t="shared" si="22"/>
        <v>7.0762185241274285E-3</v>
      </c>
      <c r="AG12" s="5">
        <f t="shared" si="11"/>
        <v>7.9237814758725718E-3</v>
      </c>
      <c r="AH12" s="3">
        <f t="shared" si="12"/>
        <v>8.8470300608469028</v>
      </c>
      <c r="AI12" s="3">
        <f t="shared" si="13"/>
        <v>7.3666904284236718</v>
      </c>
      <c r="AJ12" s="2">
        <v>1</v>
      </c>
      <c r="AK12" s="8">
        <f t="shared" si="14"/>
        <v>0.60809964357364488</v>
      </c>
    </row>
    <row r="13" spans="2:37" x14ac:dyDescent="0.2">
      <c r="B13" s="8">
        <f t="shared" si="2"/>
        <v>0.9559546765892305</v>
      </c>
      <c r="C13" s="7">
        <f t="shared" si="3"/>
        <v>7.3546765892304319E-3</v>
      </c>
      <c r="D13" s="2">
        <v>8</v>
      </c>
      <c r="E13" s="5">
        <f t="shared" si="15"/>
        <v>0.94860000000000011</v>
      </c>
      <c r="F13" s="2">
        <v>0.01</v>
      </c>
      <c r="G13" s="3">
        <f t="shared" si="0"/>
        <v>0.95360000000000011</v>
      </c>
      <c r="H13" s="2">
        <f>($U$25+$U$26*G13)*G13</f>
        <v>2.7944294400000005</v>
      </c>
      <c r="I13" s="4">
        <f>$U$24/H13</f>
        <v>2.1471288249811735</v>
      </c>
      <c r="J13" s="4">
        <f>($U$24*SQRT($U$25+3*G13))/(SQRT(9.81)*($U$25*G13+1.5*G13^2)^(3/2))</f>
        <v>0.85636736610631492</v>
      </c>
      <c r="K13" s="4">
        <f t="shared" si="4"/>
        <v>0.26663493426813278</v>
      </c>
      <c r="L13" s="4">
        <f>$U$25+2*G13*SQRT(1+$U$26^2)</f>
        <v>4.9382536962824606</v>
      </c>
      <c r="M13" s="4">
        <f t="shared" si="5"/>
        <v>0.56587401374369639</v>
      </c>
      <c r="N13" s="5">
        <f>($U$23*I13/(M13^(2/3)))^2</f>
        <v>2.014166084455371E-3</v>
      </c>
      <c r="O13" s="5">
        <f>$U$21-($U$23*I13/(M13^(2/3)))^2</f>
        <v>-1.014166084455371E-3</v>
      </c>
      <c r="P13" s="3">
        <f t="shared" si="6"/>
        <v>2.6291052161473285</v>
      </c>
      <c r="Q13" s="3">
        <f t="shared" si="7"/>
        <v>-7.354676589230432</v>
      </c>
      <c r="R13" s="2">
        <v>-1</v>
      </c>
      <c r="S13" s="7">
        <f t="shared" si="16"/>
        <v>-0.24320580733905861</v>
      </c>
      <c r="T13" s="2">
        <v>8</v>
      </c>
      <c r="U13" s="5">
        <f t="shared" si="17"/>
        <v>0.66859999999999986</v>
      </c>
      <c r="V13" s="2">
        <v>-0.05</v>
      </c>
      <c r="W13" s="3">
        <f t="shared" si="1"/>
        <v>0.64359999999999984</v>
      </c>
      <c r="X13" s="2">
        <f t="shared" si="19"/>
        <v>1.5867314399999994</v>
      </c>
      <c r="Y13" s="2">
        <f t="shared" si="8"/>
        <v>3.4307999999999996</v>
      </c>
      <c r="Z13" s="2">
        <f t="shared" si="9"/>
        <v>0.46249604756907997</v>
      </c>
      <c r="AA13" s="4">
        <f>$U$24/X13</f>
        <v>3.7813582366528276</v>
      </c>
      <c r="AB13" s="4">
        <f t="shared" si="20"/>
        <v>1.7752491230610827</v>
      </c>
      <c r="AC13" s="4">
        <f t="shared" si="10"/>
        <v>-2.1515094489291431</v>
      </c>
      <c r="AD13" s="4">
        <f t="shared" si="21"/>
        <v>3.820532800888623</v>
      </c>
      <c r="AE13" s="4">
        <f t="shared" si="18"/>
        <v>0.41531679550845352</v>
      </c>
      <c r="AF13" s="5">
        <f t="shared" si="22"/>
        <v>9.4361549181441219E-3</v>
      </c>
      <c r="AG13" s="5">
        <f t="shared" si="11"/>
        <v>5.5638450818558775E-3</v>
      </c>
      <c r="AH13" s="3">
        <f t="shared" si="12"/>
        <v>19.334735396797615</v>
      </c>
      <c r="AI13" s="3">
        <f t="shared" si="13"/>
        <v>16.213720489270575</v>
      </c>
      <c r="AJ13" s="2">
        <v>1</v>
      </c>
      <c r="AK13" s="8">
        <f t="shared" si="14"/>
        <v>0.42539419266094125</v>
      </c>
    </row>
    <row r="14" spans="2:37" x14ac:dyDescent="0.2">
      <c r="B14" s="8">
        <f t="shared" si="2"/>
        <v>0.96858378180537785</v>
      </c>
      <c r="C14" s="7">
        <f t="shared" si="3"/>
        <v>9.9837818053777599E-3</v>
      </c>
      <c r="D14" s="2">
        <v>9</v>
      </c>
      <c r="E14" s="5">
        <f t="shared" si="15"/>
        <v>0.95860000000000012</v>
      </c>
      <c r="F14" s="2">
        <v>0.01</v>
      </c>
      <c r="G14" s="3">
        <f t="shared" si="0"/>
        <v>0.96360000000000012</v>
      </c>
      <c r="H14" s="2">
        <f>($U$25+$U$26*G14)*G14</f>
        <v>2.8381874400000004</v>
      </c>
      <c r="I14" s="4">
        <f>$U$24/H14</f>
        <v>2.1140252808672844</v>
      </c>
      <c r="J14" s="4">
        <f>($U$24*SQRT($U$25+3*G14))/(SQRT(9.81)*($U$25*G14+1.5*G14^2)^(3/2))</f>
        <v>0.83951210711848612</v>
      </c>
      <c r="K14" s="4">
        <f t="shared" si="4"/>
        <v>0.29521942200147944</v>
      </c>
      <c r="L14" s="4">
        <f>$U$25+2*G14*SQRT(1+$U$26^2)</f>
        <v>4.9743092090371004</v>
      </c>
      <c r="M14" s="4">
        <f t="shared" si="5"/>
        <v>0.57056916261733581</v>
      </c>
      <c r="N14" s="5">
        <f>($U$23*I14/(M14^(2/3)))^2</f>
        <v>1.9311441835312289E-3</v>
      </c>
      <c r="O14" s="5">
        <f>$U$21-($U$23*I14/(M14^(2/3)))^2</f>
        <v>-9.3114418353122891E-4</v>
      </c>
      <c r="P14" s="3">
        <f t="shared" si="6"/>
        <v>3.1705017034193643</v>
      </c>
      <c r="Q14" s="3">
        <f t="shared" si="7"/>
        <v>-9.9837818053777596</v>
      </c>
      <c r="R14" s="2">
        <v>-1</v>
      </c>
      <c r="S14" s="7">
        <f t="shared" si="16"/>
        <v>-0.5332268382910228</v>
      </c>
      <c r="T14" s="2">
        <v>9</v>
      </c>
      <c r="U14" s="5">
        <f t="shared" si="17"/>
        <v>0.61859999999999982</v>
      </c>
      <c r="V14" s="2">
        <f>-0.04664</f>
        <v>-4.6640000000000001E-2</v>
      </c>
      <c r="W14" s="3">
        <f t="shared" si="1"/>
        <v>0.59527999999999981</v>
      </c>
      <c r="X14" s="2">
        <f t="shared" si="19"/>
        <v>1.4244574175999993</v>
      </c>
      <c r="Y14" s="2">
        <f t="shared" si="8"/>
        <v>3.2858399999999994</v>
      </c>
      <c r="Z14" s="2">
        <f t="shared" si="9"/>
        <v>0.43351393178000136</v>
      </c>
      <c r="AA14" s="4">
        <f>$U$24/X14</f>
        <v>4.2121301246822211</v>
      </c>
      <c r="AB14" s="4">
        <f t="shared" si="20"/>
        <v>2.0425173117756588</v>
      </c>
      <c r="AC14" s="4">
        <f t="shared" si="10"/>
        <v>-3.1718769689032635</v>
      </c>
      <c r="AD14" s="4">
        <f t="shared" si="21"/>
        <v>3.6463125632582027</v>
      </c>
      <c r="AE14" s="4">
        <f t="shared" si="18"/>
        <v>0.39065696999029609</v>
      </c>
      <c r="AF14" s="5">
        <f t="shared" si="22"/>
        <v>1.2704225596915928E-2</v>
      </c>
      <c r="AG14" s="5">
        <f t="shared" si="11"/>
        <v>2.2957744030840718E-3</v>
      </c>
      <c r="AH14" s="3">
        <f t="shared" si="12"/>
        <v>64.438536134436873</v>
      </c>
      <c r="AI14" s="3">
        <f t="shared" si="13"/>
        <v>35.54845588606819</v>
      </c>
      <c r="AJ14" s="2">
        <v>1</v>
      </c>
      <c r="AK14" s="8">
        <f t="shared" si="14"/>
        <v>8.5373161708977019E-2</v>
      </c>
    </row>
    <row r="15" spans="2:37" x14ac:dyDescent="0.2">
      <c r="B15" s="8">
        <f t="shared" si="2"/>
        <v>0.98175428350879723</v>
      </c>
      <c r="C15" s="7">
        <f t="shared" si="3"/>
        <v>1.3154283508797125E-2</v>
      </c>
      <c r="D15" s="2">
        <v>10</v>
      </c>
      <c r="E15" s="5">
        <f t="shared" si="15"/>
        <v>0.96860000000000013</v>
      </c>
      <c r="F15" s="2">
        <v>0.05</v>
      </c>
      <c r="G15" s="3">
        <f t="shared" si="0"/>
        <v>0.99360000000000015</v>
      </c>
      <c r="H15" s="2">
        <f>($U$25+$U$26*G15)*G15</f>
        <v>2.9712614400000006</v>
      </c>
      <c r="I15" s="4">
        <f>$U$24/H15</f>
        <v>2.019344349583724</v>
      </c>
      <c r="J15" s="4">
        <f>($U$24*SQRT($U$25+3*G15))/(SQRT(9.81)*($U$25*G15+1.5*G15^2)^(3/2))</f>
        <v>0.79174116577023623</v>
      </c>
      <c r="K15" s="4">
        <f t="shared" si="4"/>
        <v>0.37314592642478728</v>
      </c>
      <c r="L15" s="4">
        <f>$U$25+2*G15*SQRT(1+$U$26^2)</f>
        <v>5.0824757473010198</v>
      </c>
      <c r="M15" s="4">
        <f t="shared" si="5"/>
        <v>0.58460907394941308</v>
      </c>
      <c r="N15" s="5">
        <f>($U$23*I15/(M15^(2/3)))^2</f>
        <v>1.705841880725483E-3</v>
      </c>
      <c r="O15" s="5">
        <f>$U$21-($U$23*I15/(M15^(2/3)))^2</f>
        <v>-7.0584188072548302E-4</v>
      </c>
      <c r="P15" s="3">
        <f t="shared" si="6"/>
        <v>26.432685323323266</v>
      </c>
      <c r="Q15" s="3">
        <f t="shared" si="7"/>
        <v>-13.154283508797125</v>
      </c>
      <c r="R15" s="2">
        <v>-1</v>
      </c>
      <c r="S15" s="7">
        <f t="shared" si="16"/>
        <v>-1.4998048803075759</v>
      </c>
      <c r="T15" s="2">
        <v>10</v>
      </c>
      <c r="U15" s="5">
        <f t="shared" si="17"/>
        <v>0.5719599999999998</v>
      </c>
      <c r="V15" s="2"/>
      <c r="W15" s="3"/>
      <c r="X15" s="2"/>
      <c r="Y15" s="2"/>
      <c r="Z15" s="2"/>
      <c r="AA15" s="4"/>
      <c r="AB15" s="4"/>
      <c r="AC15" s="4"/>
      <c r="AD15" s="4"/>
      <c r="AE15" s="4"/>
      <c r="AF15" s="5"/>
      <c r="AG15" s="5"/>
      <c r="AH15" s="3"/>
      <c r="AI15" s="3">
        <f t="shared" si="13"/>
        <v>99.986992020505056</v>
      </c>
      <c r="AJ15" s="2">
        <v>1</v>
      </c>
      <c r="AK15" s="8">
        <f t="shared" si="14"/>
        <v>-0.92784488030757606</v>
      </c>
    </row>
    <row r="16" spans="2:37" x14ac:dyDescent="0.2">
      <c r="B16" s="8">
        <f t="shared" si="2"/>
        <v>1.0581869688321206</v>
      </c>
      <c r="C16" s="7">
        <f t="shared" si="3"/>
        <v>3.9586968832120394E-2</v>
      </c>
      <c r="D16" s="2">
        <v>11</v>
      </c>
      <c r="E16" s="5">
        <f t="shared" ref="E16:E18" si="23">+E15+F15</f>
        <v>1.0186000000000002</v>
      </c>
      <c r="F16" s="2">
        <v>0.05</v>
      </c>
      <c r="G16" s="3">
        <f t="shared" si="0"/>
        <v>1.0436000000000001</v>
      </c>
      <c r="H16" s="2">
        <f>($U$25+$U$26*G16)*G16</f>
        <v>3.1990514400000007</v>
      </c>
      <c r="I16" s="4">
        <f>$U$24/H16</f>
        <v>1.8755559616759394</v>
      </c>
      <c r="J16" s="4">
        <f>($U$24*SQRT($U$25+3*G16))/(SQRT(9.81)*($U$25*G16+1.5*G16^2)^(3/2))</f>
        <v>0.72046505974008013</v>
      </c>
      <c r="K16" s="4">
        <f t="shared" si="4"/>
        <v>0.48093009769372275</v>
      </c>
      <c r="L16" s="4">
        <f>$U$25+2*G16*SQRT(1+$U$26^2)</f>
        <v>5.2627533110742188</v>
      </c>
      <c r="M16" s="4">
        <f t="shared" ref="M16:M17" si="24">+(H16)/L16</f>
        <v>0.6078665008425066</v>
      </c>
      <c r="N16" s="5">
        <f>($U$23*I16/(M16^(2/3)))^2</f>
        <v>1.3969724721280936E-3</v>
      </c>
      <c r="O16" s="5">
        <f>$U$21-($U$23*I16/(M16^(2/3)))^2</f>
        <v>-3.9697247212809356E-4</v>
      </c>
      <c r="P16" s="3">
        <f t="shared" si="6"/>
        <v>60.574741507332796</v>
      </c>
      <c r="Q16" s="3">
        <f t="shared" si="7"/>
        <v>-39.586968832120391</v>
      </c>
      <c r="R16" s="2">
        <v>-1</v>
      </c>
      <c r="S16" s="7">
        <f t="shared" si="16"/>
        <v>0</v>
      </c>
      <c r="T16" s="2">
        <v>11</v>
      </c>
      <c r="U16" s="5"/>
      <c r="V16" s="2"/>
      <c r="W16" s="3"/>
      <c r="X16" s="2"/>
      <c r="Y16" s="2"/>
      <c r="Z16" s="2"/>
      <c r="AA16" s="4"/>
      <c r="AB16" s="4"/>
      <c r="AC16" s="4"/>
      <c r="AD16" s="4"/>
      <c r="AE16" s="4"/>
      <c r="AF16" s="5"/>
      <c r="AG16" s="5"/>
      <c r="AH16" s="3"/>
      <c r="AI16" s="3"/>
      <c r="AJ16" s="2">
        <v>1</v>
      </c>
      <c r="AK16" s="8">
        <f t="shared" si="14"/>
        <v>0</v>
      </c>
    </row>
    <row r="17" spans="2:48" x14ac:dyDescent="0.2">
      <c r="B17" s="8">
        <f t="shared" si="2"/>
        <v>1.1687617103394534</v>
      </c>
      <c r="C17" s="7">
        <f t="shared" si="3"/>
        <v>0.10016171033945317</v>
      </c>
      <c r="D17" s="2">
        <v>12</v>
      </c>
      <c r="E17" s="5">
        <f t="shared" si="23"/>
        <v>1.0686000000000002</v>
      </c>
      <c r="F17" s="2">
        <v>0.02</v>
      </c>
      <c r="G17" s="3">
        <f t="shared" si="0"/>
        <v>1.0786000000000002</v>
      </c>
      <c r="H17" s="2">
        <f>($U$25+$U$26*G17)*G17</f>
        <v>3.3629669400000015</v>
      </c>
      <c r="I17" s="4">
        <f>$U$24/H17</f>
        <v>1.7841388592419518</v>
      </c>
      <c r="J17" s="4">
        <f>($U$24*SQRT($U$25+3*G17))/(SQRT(9.81)*($U$25*G17+1.5*G17^2)^(3/2))</f>
        <v>0.67597327524462147</v>
      </c>
      <c r="K17" s="4">
        <f t="shared" si="4"/>
        <v>0.54306013115505913</v>
      </c>
      <c r="L17" s="4">
        <f>$U$25+2*G17*SQRT(1+$U$26^2)</f>
        <v>5.3889476057154599</v>
      </c>
      <c r="M17" s="4">
        <f t="shared" si="24"/>
        <v>0.62404892124638123</v>
      </c>
      <c r="N17" s="5">
        <f>($U$23*I17/(M17^(2/3)))^2</f>
        <v>1.2205939061429435E-3</v>
      </c>
      <c r="O17" s="5">
        <f>$U$21-($U$23*I17/(M17^(2/3)))^2</f>
        <v>-2.205939061429435E-4</v>
      </c>
      <c r="P17" s="3">
        <f t="shared" si="6"/>
        <v>49.236186135002249</v>
      </c>
      <c r="Q17" s="3">
        <f t="shared" si="7"/>
        <v>-100.16171033945318</v>
      </c>
      <c r="R17" s="2">
        <v>-1</v>
      </c>
      <c r="S17" s="7">
        <f t="shared" si="16"/>
        <v>0</v>
      </c>
      <c r="T17" s="2">
        <v>12</v>
      </c>
      <c r="U17" s="5"/>
      <c r="V17" s="2"/>
      <c r="W17" s="3"/>
      <c r="X17" s="2"/>
      <c r="Y17" s="2"/>
      <c r="Z17" s="2"/>
      <c r="AA17" s="4"/>
      <c r="AB17" s="4"/>
      <c r="AC17" s="4"/>
      <c r="AD17" s="4"/>
      <c r="AE17" s="4"/>
      <c r="AF17" s="5"/>
      <c r="AG17" s="5"/>
      <c r="AH17" s="3"/>
      <c r="AI17" s="3"/>
      <c r="AJ17" s="2">
        <v>1</v>
      </c>
      <c r="AK17" s="8">
        <f t="shared" si="14"/>
        <v>0</v>
      </c>
    </row>
    <row r="18" spans="2:48" x14ac:dyDescent="0.2">
      <c r="B18" s="8">
        <f t="shared" si="2"/>
        <v>1.2379978964744556</v>
      </c>
      <c r="C18" s="7">
        <f t="shared" si="3"/>
        <v>0.14939789647445542</v>
      </c>
      <c r="D18" s="2">
        <v>13</v>
      </c>
      <c r="E18" s="6">
        <f t="shared" si="23"/>
        <v>1.0886000000000002</v>
      </c>
      <c r="Q18" s="3">
        <f>+Q17+P17*R17</f>
        <v>-149.39789647445542</v>
      </c>
      <c r="R18" s="2">
        <v>-1</v>
      </c>
      <c r="S18" s="7">
        <f t="shared" si="16"/>
        <v>0</v>
      </c>
      <c r="T18" s="2">
        <v>13</v>
      </c>
      <c r="U18" s="5">
        <f t="shared" si="17"/>
        <v>0</v>
      </c>
      <c r="AI18" s="3">
        <f t="shared" si="13"/>
        <v>0</v>
      </c>
      <c r="AK18" s="8">
        <f t="shared" si="14"/>
        <v>0</v>
      </c>
    </row>
    <row r="20" spans="2:48" x14ac:dyDescent="0.2">
      <c r="T20" s="10" t="s">
        <v>35</v>
      </c>
      <c r="U20" s="10"/>
    </row>
    <row r="21" spans="2:48" x14ac:dyDescent="0.2">
      <c r="T21" s="2" t="s">
        <v>20</v>
      </c>
      <c r="U21" s="9">
        <v>1E-3</v>
      </c>
      <c r="AH21" s="7" t="s">
        <v>0</v>
      </c>
      <c r="AI21" s="7" t="s">
        <v>10</v>
      </c>
      <c r="AJ21" s="7" t="s">
        <v>1</v>
      </c>
      <c r="AK21" s="7" t="s">
        <v>2</v>
      </c>
      <c r="AL21" s="7" t="s">
        <v>15</v>
      </c>
      <c r="AM21" s="7" t="s">
        <v>3</v>
      </c>
      <c r="AN21" s="7" t="s">
        <v>4</v>
      </c>
      <c r="AO21" s="7" t="s">
        <v>5</v>
      </c>
      <c r="AP21" s="7" t="s">
        <v>16</v>
      </c>
      <c r="AQ21" s="7" t="s">
        <v>6</v>
      </c>
      <c r="AR21" s="7" t="s">
        <v>17</v>
      </c>
      <c r="AS21" s="7" t="s">
        <v>7</v>
      </c>
      <c r="AT21" s="7" t="s">
        <v>8</v>
      </c>
      <c r="AU21" s="7" t="s">
        <v>9</v>
      </c>
      <c r="AV21" s="7"/>
    </row>
    <row r="22" spans="2:48" x14ac:dyDescent="0.2">
      <c r="T22" s="2" t="s">
        <v>21</v>
      </c>
      <c r="U22" s="9">
        <v>1.4999999999999999E-2</v>
      </c>
      <c r="AH22" s="7">
        <v>1</v>
      </c>
      <c r="AI22" s="7">
        <v>0.87860000000000005</v>
      </c>
      <c r="AJ22" s="7">
        <v>0.01</v>
      </c>
      <c r="AK22" s="7">
        <v>0.87360000000000004</v>
      </c>
      <c r="AL22" s="7">
        <v>2.45516544</v>
      </c>
      <c r="AM22" s="7">
        <v>2.4438271662866025</v>
      </c>
      <c r="AN22" s="7">
        <v>1.0108492004471434</v>
      </c>
      <c r="AO22" s="7">
        <v>-2.1816106044629135E-2</v>
      </c>
      <c r="AP22" s="7">
        <v>4.6498095942453412</v>
      </c>
      <c r="AQ22" s="7">
        <v>0.52801418858925786</v>
      </c>
      <c r="AR22" s="7">
        <v>2.8616658943414366E-3</v>
      </c>
      <c r="AS22" s="7">
        <v>-1.8616658943414366E-3</v>
      </c>
      <c r="AT22" s="7">
        <v>0.1171859360529703</v>
      </c>
      <c r="AU22" s="7">
        <v>0</v>
      </c>
      <c r="AV22" s="7"/>
    </row>
    <row r="23" spans="2:48" x14ac:dyDescent="0.2">
      <c r="T23" s="2" t="s">
        <v>12</v>
      </c>
      <c r="U23" s="9">
        <v>1.43E-2</v>
      </c>
      <c r="AH23" s="7">
        <v>2</v>
      </c>
      <c r="AI23" s="7">
        <v>0.86860000000000004</v>
      </c>
      <c r="AJ23" s="7">
        <v>0.01</v>
      </c>
      <c r="AK23" s="7">
        <v>0.86360000000000003</v>
      </c>
      <c r="AL23" s="7">
        <v>2.41410744</v>
      </c>
      <c r="AM23" s="7">
        <v>2.4853906253650417</v>
      </c>
      <c r="AN23" s="7">
        <v>1.0329658848974819</v>
      </c>
      <c r="AO23" s="7">
        <v>-6.7018519362037843E-2</v>
      </c>
      <c r="AP23" s="7">
        <v>4.6137540814907005</v>
      </c>
      <c r="AQ23" s="7">
        <v>0.52324146397070292</v>
      </c>
      <c r="AR23" s="7">
        <v>2.9958853130903564E-3</v>
      </c>
      <c r="AS23" s="7">
        <v>-1.9958853130903564E-3</v>
      </c>
      <c r="AT23" s="7">
        <v>0.33578341862874272</v>
      </c>
      <c r="AU23" s="7">
        <v>0.1171859360529703</v>
      </c>
      <c r="AV23" s="7"/>
    </row>
    <row r="24" spans="2:48" x14ac:dyDescent="0.2">
      <c r="T24" s="2" t="s">
        <v>13</v>
      </c>
      <c r="U24" s="2">
        <v>6</v>
      </c>
      <c r="AH24" s="7">
        <v>3</v>
      </c>
      <c r="AI24" s="7">
        <v>0.85860000000000003</v>
      </c>
      <c r="AJ24" s="7">
        <v>0.02</v>
      </c>
      <c r="AK24" s="7">
        <v>0.84860000000000002</v>
      </c>
      <c r="AL24" s="7">
        <v>2.3530829400000002</v>
      </c>
      <c r="AM24" s="7">
        <v>2.549846373030948</v>
      </c>
      <c r="AN24" s="7">
        <v>1.0674882390947051</v>
      </c>
      <c r="AO24" s="7">
        <v>-0.13953114060551441</v>
      </c>
      <c r="AP24" s="7">
        <v>4.5596708123587408</v>
      </c>
      <c r="AQ24" s="7">
        <v>0.51606421534249713</v>
      </c>
      <c r="AR24" s="7">
        <v>3.21189824430473E-3</v>
      </c>
      <c r="AS24" s="7">
        <v>-2.21189824430473E-3</v>
      </c>
      <c r="AT24" s="7">
        <v>1.2616415873992748</v>
      </c>
      <c r="AU24" s="7">
        <v>0.45296935468171301</v>
      </c>
      <c r="AV24" s="7"/>
    </row>
    <row r="25" spans="2:48" x14ac:dyDescent="0.2">
      <c r="T25" s="2" t="s">
        <v>14</v>
      </c>
      <c r="U25" s="2">
        <v>1.5</v>
      </c>
      <c r="AH25" s="7">
        <v>4</v>
      </c>
      <c r="AI25" s="7">
        <v>0.83860000000000001</v>
      </c>
      <c r="AJ25" s="7">
        <v>0.02</v>
      </c>
      <c r="AK25" s="7">
        <v>0.8286</v>
      </c>
      <c r="AL25" s="7">
        <v>2.2727669399999999</v>
      </c>
      <c r="AM25" s="7">
        <v>2.6399539233002045</v>
      </c>
      <c r="AN25" s="7">
        <v>1.1162003206279409</v>
      </c>
      <c r="AO25" s="7">
        <v>-0.24590315576991806</v>
      </c>
      <c r="AP25" s="7">
        <v>4.4875597868494612</v>
      </c>
      <c r="AQ25" s="7">
        <v>0.50645942292740354</v>
      </c>
      <c r="AR25" s="7">
        <v>3.5302480980689897E-3</v>
      </c>
      <c r="AS25" s="7">
        <v>-2.5302480980689897E-3</v>
      </c>
      <c r="AT25" s="7">
        <v>1.9437078597753641</v>
      </c>
      <c r="AU25" s="7">
        <v>1.7146109420809879</v>
      </c>
      <c r="AV25" s="7"/>
    </row>
    <row r="26" spans="2:48" x14ac:dyDescent="0.2">
      <c r="T26" s="2" t="s">
        <v>22</v>
      </c>
      <c r="U26" s="2">
        <v>1.5</v>
      </c>
      <c r="AH26" s="7">
        <v>5</v>
      </c>
      <c r="AI26" s="7">
        <v>0.81859999999999999</v>
      </c>
      <c r="AJ26" s="7">
        <v>0.05</v>
      </c>
      <c r="AK26" s="7">
        <v>0.79359999999999997</v>
      </c>
      <c r="AL26" s="7">
        <v>2.1351014399999997</v>
      </c>
      <c r="AM26" s="7">
        <v>2.8101709303329403</v>
      </c>
      <c r="AN26" s="7">
        <v>1.2096218060453028</v>
      </c>
      <c r="AO26" s="7">
        <v>-0.46318491366030012</v>
      </c>
      <c r="AP26" s="7">
        <v>4.3613654922082219</v>
      </c>
      <c r="AQ26" s="7">
        <v>0.48954884515284391</v>
      </c>
      <c r="AR26" s="7">
        <v>4.1854565865411262E-3</v>
      </c>
      <c r="AS26" s="7">
        <v>-3.1854565865411261E-3</v>
      </c>
      <c r="AT26" s="7">
        <v>7.2703064863182076</v>
      </c>
      <c r="AU26" s="7">
        <v>3.6583188018563519</v>
      </c>
      <c r="AV26" s="7"/>
    </row>
    <row r="27" spans="2:48" x14ac:dyDescent="0.2">
      <c r="T27" s="2" t="s">
        <v>23</v>
      </c>
      <c r="U27" s="3">
        <v>1.1321000000000001</v>
      </c>
      <c r="AH27" s="7">
        <v>6</v>
      </c>
      <c r="AI27" s="7">
        <v>0.76859999999999995</v>
      </c>
      <c r="AJ27" s="7">
        <v>0.05</v>
      </c>
      <c r="AK27" s="7">
        <v>0.74359999999999993</v>
      </c>
      <c r="AL27" s="7">
        <v>1.9448114399999998</v>
      </c>
      <c r="AM27" s="7">
        <v>3.0851319961384021</v>
      </c>
      <c r="AN27" s="7">
        <v>1.3642736150408843</v>
      </c>
      <c r="AO27" s="7">
        <v>-0.86124249669672293</v>
      </c>
      <c r="AP27" s="7">
        <v>4.181087928435022</v>
      </c>
      <c r="AQ27" s="7">
        <v>0.46514483150990354</v>
      </c>
      <c r="AR27" s="7">
        <v>5.4005166396234308E-3</v>
      </c>
      <c r="AS27" s="7">
        <v>-4.4005166396234308E-3</v>
      </c>
      <c r="AT27" s="7">
        <v>9.7856975353969222</v>
      </c>
      <c r="AU27" s="7">
        <v>10.92862528817456</v>
      </c>
      <c r="AV27" s="7"/>
    </row>
    <row r="28" spans="2:48" x14ac:dyDescent="0.2">
      <c r="T28" s="2" t="s">
        <v>24</v>
      </c>
      <c r="U28" s="3">
        <v>0.56999999999999995</v>
      </c>
      <c r="AH28" s="7">
        <v>7</v>
      </c>
      <c r="AI28" s="7">
        <v>0.71859999999999991</v>
      </c>
      <c r="AJ28" s="7">
        <v>0.05</v>
      </c>
      <c r="AK28" s="7">
        <v>0.69359999999999988</v>
      </c>
      <c r="AL28" s="7">
        <v>1.7620214399999996</v>
      </c>
      <c r="AM28" s="7">
        <v>3.4051799051888958</v>
      </c>
      <c r="AN28" s="7">
        <v>1.549851172936463</v>
      </c>
      <c r="AO28" s="7">
        <v>-1.4020386582525304</v>
      </c>
      <c r="AP28" s="7">
        <v>4.000810364661822</v>
      </c>
      <c r="AQ28" s="7">
        <v>0.44041613558180698</v>
      </c>
      <c r="AR28" s="7">
        <v>7.0762185241274285E-3</v>
      </c>
      <c r="AS28" s="7">
        <v>-6.0762185241274285E-3</v>
      </c>
      <c r="AT28" s="7">
        <v>11.537098712672362</v>
      </c>
      <c r="AU28" s="7">
        <v>20.714322823571482</v>
      </c>
      <c r="AV28" s="7"/>
    </row>
    <row r="29" spans="2:48" x14ac:dyDescent="0.2">
      <c r="AH29" s="7">
        <v>8</v>
      </c>
      <c r="AI29" s="7">
        <v>0.66859999999999986</v>
      </c>
      <c r="AJ29" s="7">
        <v>0.05</v>
      </c>
      <c r="AK29" s="7">
        <v>0.64359999999999984</v>
      </c>
      <c r="AL29" s="7">
        <v>1.5867314399999994</v>
      </c>
      <c r="AM29" s="7">
        <v>3.7813582366528276</v>
      </c>
      <c r="AN29" s="7">
        <v>1.7752491230610832</v>
      </c>
      <c r="AO29" s="7">
        <v>-2.1515094489291449</v>
      </c>
      <c r="AP29" s="7">
        <v>3.820532800888623</v>
      </c>
      <c r="AQ29" s="7">
        <v>0.41531679550845352</v>
      </c>
      <c r="AR29" s="7">
        <v>9.4361549181441219E-3</v>
      </c>
      <c r="AS29" s="7">
        <v>-8.436154918144121E-3</v>
      </c>
      <c r="AT29" s="7">
        <v>12.751718465374378</v>
      </c>
      <c r="AU29" s="7">
        <v>32.251421536243846</v>
      </c>
      <c r="AV29" s="7"/>
    </row>
    <row r="30" spans="2:48" x14ac:dyDescent="0.2">
      <c r="AH30" s="7">
        <v>9</v>
      </c>
      <c r="AI30" s="7">
        <v>0.61859999999999982</v>
      </c>
      <c r="AJ30" s="7">
        <v>0.05</v>
      </c>
      <c r="AK30" s="7">
        <v>0.59359999999999979</v>
      </c>
      <c r="AL30" s="7">
        <v>1.4189414399999993</v>
      </c>
      <c r="AM30" s="7">
        <v>4.228504313750963</v>
      </c>
      <c r="AN30" s="7">
        <v>2.0528627588877955</v>
      </c>
      <c r="AO30" s="7">
        <v>-3.2142455068284113</v>
      </c>
      <c r="AP30" s="7">
        <v>3.6402552371154231</v>
      </c>
      <c r="AQ30" s="7">
        <v>0.38979174469216166</v>
      </c>
      <c r="AR30" s="7">
        <v>1.2841096651590583E-2</v>
      </c>
      <c r="AS30" s="7">
        <v>-1.1841096651590582E-2</v>
      </c>
      <c r="AT30" s="7">
        <v>13.572414791482386</v>
      </c>
      <c r="AU30" s="7">
        <v>45.00314000161822</v>
      </c>
      <c r="AV30" s="7"/>
    </row>
    <row r="31" spans="2:48" x14ac:dyDescent="0.2">
      <c r="AH31" s="7">
        <v>10</v>
      </c>
      <c r="AI31" s="7">
        <v>0.56859999999999977</v>
      </c>
      <c r="AJ31" s="7">
        <v>0.05</v>
      </c>
      <c r="AK31" s="7">
        <v>0.54359999999999975</v>
      </c>
      <c r="AL31" s="7">
        <v>1.2586514399999991</v>
      </c>
      <c r="AM31" s="7">
        <v>4.7670068212054044</v>
      </c>
      <c r="AN31" s="7">
        <v>2.4004142359839755</v>
      </c>
      <c r="AO31" s="7">
        <v>-4.7619885043145329</v>
      </c>
      <c r="AP31" s="7">
        <v>3.4599776733422236</v>
      </c>
      <c r="AQ31" s="7">
        <v>0.36377443984607666</v>
      </c>
      <c r="AR31" s="7">
        <v>1.7894547223753277E-2</v>
      </c>
      <c r="AS31" s="7">
        <v>-1.6894547223753276E-2</v>
      </c>
      <c r="AT31" s="7">
        <v>14.093270571996468</v>
      </c>
      <c r="AU31" s="7">
        <v>58.575554793100608</v>
      </c>
      <c r="AV31" s="7"/>
    </row>
    <row r="32" spans="2:48" x14ac:dyDescent="0.2">
      <c r="AH32" s="7">
        <v>11</v>
      </c>
      <c r="AI32" s="7">
        <v>0.51859999999999973</v>
      </c>
      <c r="AJ32" s="7">
        <v>0.05</v>
      </c>
      <c r="AK32" s="7">
        <v>0.49359999999999971</v>
      </c>
      <c r="AL32" s="7">
        <v>1.1058614399999991</v>
      </c>
      <c r="AM32" s="7">
        <v>5.4256345171055109</v>
      </c>
      <c r="AN32" s="7">
        <v>2.8440163771846008</v>
      </c>
      <c r="AO32" s="7">
        <v>-7.0884291536942214</v>
      </c>
      <c r="AP32" s="7">
        <v>3.2797001095690241</v>
      </c>
      <c r="AQ32" s="7">
        <v>0.33718370675827342</v>
      </c>
      <c r="AR32" s="7">
        <v>2.5649822933253037E-2</v>
      </c>
      <c r="AS32" s="7">
        <v>-2.4649822933253036E-2</v>
      </c>
      <c r="AT32" s="7">
        <v>14.378255723962644</v>
      </c>
      <c r="AU32" s="7">
        <v>72.668825365097078</v>
      </c>
      <c r="AV32" s="7"/>
    </row>
    <row r="33" spans="34:48" x14ac:dyDescent="0.2">
      <c r="AH33" s="7">
        <v>12</v>
      </c>
      <c r="AI33" s="7">
        <v>0.46859999999999974</v>
      </c>
      <c r="AJ33" s="7">
        <v>4.48E-2</v>
      </c>
      <c r="AK33" s="7">
        <v>0.44619999999999971</v>
      </c>
      <c r="AL33" s="7">
        <v>0.96794165999999926</v>
      </c>
      <c r="AM33" s="7">
        <v>6.1987206956254006</v>
      </c>
      <c r="AN33" s="7">
        <v>3.3891834157156566</v>
      </c>
      <c r="AO33" s="7">
        <v>-10.486564225362045</v>
      </c>
      <c r="AP33" s="7">
        <v>3.1087969791120309</v>
      </c>
      <c r="AQ33" s="7">
        <v>0.31135570013210495</v>
      </c>
      <c r="AR33" s="7">
        <v>3.7233493221556412E-2</v>
      </c>
      <c r="AS33" s="7">
        <v>-3.6233493221556411E-2</v>
      </c>
      <c r="AT33" s="7">
        <v>12.965851082134206</v>
      </c>
      <c r="AU33" s="7">
        <v>87.047081089059716</v>
      </c>
      <c r="AV33" s="7"/>
    </row>
    <row r="34" spans="34:48" x14ac:dyDescent="0.2">
      <c r="AH34" s="7">
        <v>13</v>
      </c>
      <c r="AI34" s="7">
        <v>0.42379999999999973</v>
      </c>
      <c r="AJ34" s="7"/>
      <c r="AL34" s="7"/>
      <c r="AM34" s="7"/>
      <c r="AN34" s="7"/>
      <c r="AO34" s="7"/>
      <c r="AP34" s="7"/>
      <c r="AQ34" s="7"/>
      <c r="AR34" s="7"/>
      <c r="AS34" s="7"/>
      <c r="AT34" s="7"/>
      <c r="AU34" s="7">
        <v>100.01293217119392</v>
      </c>
      <c r="AV34" s="7"/>
    </row>
  </sheetData>
  <mergeCells count="3">
    <mergeCell ref="D4:Q4"/>
    <mergeCell ref="T4:AI4"/>
    <mergeCell ref="T20:U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909B-A59A-4752-AC13-859DB568C23B}">
  <dimension ref="D4:AH40"/>
  <sheetViews>
    <sheetView showGridLines="0" zoomScale="92" workbookViewId="0">
      <selection activeCell="I24" sqref="I24"/>
    </sheetView>
  </sheetViews>
  <sheetFormatPr baseColWidth="10" defaultColWidth="8.83203125" defaultRowHeight="15" x14ac:dyDescent="0.2"/>
  <cols>
    <col min="16" max="16" width="10.1640625" customWidth="1"/>
    <col min="32" max="32" width="8.83203125" customWidth="1"/>
  </cols>
  <sheetData>
    <row r="4" spans="4:34" x14ac:dyDescent="0.2">
      <c r="D4" s="11" t="s">
        <v>27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T4" s="11" t="s">
        <v>28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4:34" x14ac:dyDescent="0.2">
      <c r="D5" s="1" t="s">
        <v>0</v>
      </c>
      <c r="E5" s="1" t="s">
        <v>10</v>
      </c>
      <c r="F5" s="1" t="s">
        <v>1</v>
      </c>
      <c r="G5" s="1" t="s">
        <v>2</v>
      </c>
      <c r="H5" s="1" t="s">
        <v>15</v>
      </c>
      <c r="I5" s="1" t="s">
        <v>3</v>
      </c>
      <c r="J5" s="1" t="s">
        <v>4</v>
      </c>
      <c r="K5" s="1" t="s">
        <v>5</v>
      </c>
      <c r="L5" s="1" t="s">
        <v>16</v>
      </c>
      <c r="M5" s="1" t="s">
        <v>6</v>
      </c>
      <c r="N5" s="1" t="s">
        <v>17</v>
      </c>
      <c r="O5" s="1" t="s">
        <v>7</v>
      </c>
      <c r="P5" s="1" t="s">
        <v>8</v>
      </c>
      <c r="Q5" s="1" t="s">
        <v>9</v>
      </c>
      <c r="R5" s="1" t="s">
        <v>34</v>
      </c>
      <c r="T5" s="1" t="s">
        <v>0</v>
      </c>
      <c r="U5" s="1" t="s">
        <v>10</v>
      </c>
      <c r="V5" s="1" t="s">
        <v>1</v>
      </c>
      <c r="W5" s="1" t="s">
        <v>2</v>
      </c>
      <c r="X5" s="1" t="s">
        <v>15</v>
      </c>
      <c r="Y5" s="1" t="s">
        <v>3</v>
      </c>
      <c r="Z5" s="1" t="s">
        <v>4</v>
      </c>
      <c r="AA5" s="1" t="s">
        <v>5</v>
      </c>
      <c r="AB5" s="1" t="s">
        <v>16</v>
      </c>
      <c r="AC5" s="1" t="s">
        <v>6</v>
      </c>
      <c r="AD5" s="1" t="s">
        <v>17</v>
      </c>
      <c r="AE5" s="1" t="s">
        <v>7</v>
      </c>
      <c r="AF5" s="1" t="s">
        <v>8</v>
      </c>
      <c r="AG5" s="1" t="s">
        <v>9</v>
      </c>
      <c r="AH5" s="1" t="s">
        <v>34</v>
      </c>
    </row>
    <row r="6" spans="4:34" x14ac:dyDescent="0.2">
      <c r="D6" s="2">
        <v>1</v>
      </c>
      <c r="E6" s="4">
        <f>+$F$26</f>
        <v>2.0390000000000001</v>
      </c>
      <c r="F6" s="2">
        <v>-0.05</v>
      </c>
      <c r="G6" s="3">
        <f t="shared" ref="G6:G14" si="0">AVERAGE(E6:E7)</f>
        <v>2.0140000000000002</v>
      </c>
      <c r="H6" s="2">
        <f t="shared" ref="H6:H14" si="1">+G6*$F$22</f>
        <v>4.4308000000000005</v>
      </c>
      <c r="I6" s="4">
        <f t="shared" ref="I6:I14" si="2">$F$21/H6</f>
        <v>1.0156179470975895</v>
      </c>
      <c r="J6" s="4">
        <f>+I6/SQRT(9.81*G6)</f>
        <v>0.22848943824899931</v>
      </c>
      <c r="K6" s="4">
        <f>1-J6^2</f>
        <v>0.94779257660865679</v>
      </c>
      <c r="L6" s="4">
        <f t="shared" ref="L6:L14" si="3">(G6*2+$F$22)</f>
        <v>6.2280000000000006</v>
      </c>
      <c r="M6" s="4">
        <f>+(G6*3)/L6</f>
        <v>0.97013487475915228</v>
      </c>
      <c r="N6" s="5">
        <f t="shared" ref="N6:N14" si="4">$F$21^2*($F$22+2*G6)/($F$27^2*$F$22^3*G6^3)</f>
        <v>2.2654121026742993E-4</v>
      </c>
      <c r="O6" s="5">
        <f t="shared" ref="O6:O14" si="5">$F$20-N6</f>
        <v>9.7734587897325698E-3</v>
      </c>
      <c r="P6" s="3">
        <f>ABS(F6*K6/O6)</f>
        <v>4.8488083748015232</v>
      </c>
      <c r="Q6" s="2"/>
      <c r="R6" s="2">
        <v>-1</v>
      </c>
      <c r="T6" s="2">
        <v>1</v>
      </c>
      <c r="U6" s="4">
        <f>F28</f>
        <v>0.35</v>
      </c>
      <c r="V6" s="2">
        <v>0.01</v>
      </c>
      <c r="W6" s="3">
        <f t="shared" ref="W6:W15" si="6">AVERAGE(U6:U7)</f>
        <v>0.35499999999999998</v>
      </c>
      <c r="X6" s="2">
        <f t="shared" ref="X6:X15" si="7">+W6*$F$22</f>
        <v>0.78100000000000003</v>
      </c>
      <c r="Y6" s="4">
        <f t="shared" ref="Y6:Y15" si="8">$F$21/X6</f>
        <v>5.7618437900128043</v>
      </c>
      <c r="Z6" s="4">
        <f>+Y6/SQRT(9.81*W6)</f>
        <v>3.0875414713604012</v>
      </c>
      <c r="AA6" s="4">
        <f>1-Z6^2</f>
        <v>-8.5329123373703517</v>
      </c>
      <c r="AB6" s="4">
        <f t="shared" ref="AB6:AB15" si="9">(W6*2+$F$22)</f>
        <v>2.91</v>
      </c>
      <c r="AC6" s="4">
        <f>+(W6*3)/AB6</f>
        <v>0.36597938144329895</v>
      </c>
      <c r="AD6" s="5">
        <f t="shared" ref="AD6:AD15" si="10">$F$21^2*($F$22+2*W6)/($F$27^2*$F$22^3*W6^3)</f>
        <v>1.9327912058675074E-2</v>
      </c>
      <c r="AE6" s="5">
        <f t="shared" ref="AE6:AE15" si="11">$F$20-AD6</f>
        <v>-9.3279120586750742E-3</v>
      </c>
      <c r="AF6" s="3">
        <f>+ABS(V6*AA6/AE6)</f>
        <v>9.1477195364793751</v>
      </c>
      <c r="AG6" s="2"/>
      <c r="AH6" s="2">
        <v>1</v>
      </c>
    </row>
    <row r="7" spans="4:34" x14ac:dyDescent="0.2">
      <c r="D7" s="2">
        <v>2</v>
      </c>
      <c r="E7" s="5">
        <f>+E6+F6</f>
        <v>1.9890000000000001</v>
      </c>
      <c r="F7" s="2">
        <v>-0.1</v>
      </c>
      <c r="G7" s="3">
        <f t="shared" si="0"/>
        <v>1.9390000000000001</v>
      </c>
      <c r="H7" s="2">
        <f t="shared" si="1"/>
        <v>4.2658000000000005</v>
      </c>
      <c r="I7" s="4">
        <f t="shared" si="2"/>
        <v>1.0549017769234375</v>
      </c>
      <c r="J7" s="4">
        <f t="shared" ref="J7:J14" si="12">+I7/SQRT(9.81*G7)</f>
        <v>0.2418736818890139</v>
      </c>
      <c r="K7" s="4">
        <f t="shared" ref="K7:K14" si="13">1-J7^2</f>
        <v>0.94149712200945213</v>
      </c>
      <c r="L7" s="4">
        <f t="shared" si="3"/>
        <v>6.0780000000000003</v>
      </c>
      <c r="M7" s="4">
        <f t="shared" ref="M7:M14" si="14">+(G7*3)/L7</f>
        <v>0.95705824284304042</v>
      </c>
      <c r="N7" s="5">
        <f t="shared" si="4"/>
        <v>2.4774464706707781E-4</v>
      </c>
      <c r="O7" s="5">
        <f t="shared" si="5"/>
        <v>9.7522553529329221E-3</v>
      </c>
      <c r="P7" s="3">
        <f t="shared" ref="P7:P14" si="15">ABS(F7*K7/O7)</f>
        <v>9.6541475580446487</v>
      </c>
      <c r="Q7" s="3">
        <f>+Q6+P6*R6</f>
        <v>-4.8488083748015232</v>
      </c>
      <c r="R7" s="2">
        <v>-1</v>
      </c>
      <c r="T7" s="2">
        <v>2</v>
      </c>
      <c r="U7" s="5">
        <f>U6+V6</f>
        <v>0.36</v>
      </c>
      <c r="V7" s="2">
        <v>0.01</v>
      </c>
      <c r="W7" s="3">
        <f t="shared" si="6"/>
        <v>0.36499999999999999</v>
      </c>
      <c r="X7" s="2">
        <f t="shared" si="7"/>
        <v>0.80300000000000005</v>
      </c>
      <c r="Y7" s="4">
        <f t="shared" si="8"/>
        <v>5.6039850560398499</v>
      </c>
      <c r="Z7" s="4">
        <f t="shared" ref="Z7:Z14" si="16">+Y7/SQRT(9.81*W7)</f>
        <v>2.9615292923056886</v>
      </c>
      <c r="AA7" s="4">
        <f t="shared" ref="AA7:AA15" si="17">1-Z7^2</f>
        <v>-7.7706557491846322</v>
      </c>
      <c r="AB7" s="4">
        <f t="shared" si="9"/>
        <v>2.93</v>
      </c>
      <c r="AC7" s="4">
        <f t="shared" ref="AC7:AC14" si="18">+(W7*3)/AB7</f>
        <v>0.37372013651877128</v>
      </c>
      <c r="AD7" s="5">
        <f t="shared" si="10"/>
        <v>1.7904658337751331E-2</v>
      </c>
      <c r="AE7" s="5">
        <f t="shared" si="11"/>
        <v>-7.9046583377513305E-3</v>
      </c>
      <c r="AF7" s="3">
        <f t="shared" ref="AF7:AF15" si="19">+ABS(V7*AA7/AE7)</f>
        <v>9.8304764319455469</v>
      </c>
      <c r="AG7" s="3">
        <f>+AG6+AF6*AH6</f>
        <v>9.1477195364793751</v>
      </c>
      <c r="AH7" s="2">
        <v>1</v>
      </c>
    </row>
    <row r="8" spans="4:34" x14ac:dyDescent="0.2">
      <c r="D8" s="2">
        <v>3</v>
      </c>
      <c r="E8" s="5">
        <f t="shared" ref="E8:E15" si="20">+E7+F7</f>
        <v>1.889</v>
      </c>
      <c r="F8" s="2">
        <v>-0.1</v>
      </c>
      <c r="G8" s="3">
        <f t="shared" si="0"/>
        <v>1.839</v>
      </c>
      <c r="H8" s="2">
        <f t="shared" si="1"/>
        <v>4.0457999999999998</v>
      </c>
      <c r="I8" s="4">
        <f t="shared" si="2"/>
        <v>1.1122645706658758</v>
      </c>
      <c r="J8" s="4">
        <f t="shared" si="12"/>
        <v>0.26186818335044049</v>
      </c>
      <c r="K8" s="4">
        <f t="shared" si="13"/>
        <v>0.93142505454874014</v>
      </c>
      <c r="L8" s="4">
        <f t="shared" si="3"/>
        <v>5.8780000000000001</v>
      </c>
      <c r="M8" s="4">
        <f t="shared" si="14"/>
        <v>0.93858455256890083</v>
      </c>
      <c r="N8" s="5">
        <f t="shared" si="4"/>
        <v>2.8084157834134795E-4</v>
      </c>
      <c r="O8" s="5">
        <f t="shared" si="5"/>
        <v>9.7191584216586527E-3</v>
      </c>
      <c r="P8" s="3">
        <f t="shared" si="15"/>
        <v>9.5833920401287678</v>
      </c>
      <c r="Q8" s="3">
        <f t="shared" ref="Q8:Q15" si="21">+Q7+P7*R7</f>
        <v>-14.502955932846172</v>
      </c>
      <c r="R8" s="2">
        <v>-1</v>
      </c>
      <c r="T8" s="2">
        <v>3</v>
      </c>
      <c r="U8" s="5">
        <f t="shared" ref="U8:U16" si="22">U7+V7</f>
        <v>0.37</v>
      </c>
      <c r="V8" s="2">
        <v>0.01</v>
      </c>
      <c r="W8" s="3">
        <f t="shared" si="6"/>
        <v>0.375</v>
      </c>
      <c r="X8" s="2">
        <f t="shared" si="7"/>
        <v>0.82500000000000007</v>
      </c>
      <c r="Y8" s="4">
        <f t="shared" si="8"/>
        <v>5.4545454545454541</v>
      </c>
      <c r="Z8" s="4">
        <f t="shared" si="16"/>
        <v>2.8438614072937272</v>
      </c>
      <c r="AA8" s="4">
        <f t="shared" si="17"/>
        <v>-7.0875477038946588</v>
      </c>
      <c r="AB8" s="4">
        <f t="shared" si="9"/>
        <v>2.95</v>
      </c>
      <c r="AC8" s="4">
        <f t="shared" si="18"/>
        <v>0.38135593220338981</v>
      </c>
      <c r="AD8" s="5">
        <f t="shared" si="10"/>
        <v>1.6622839969947404E-2</v>
      </c>
      <c r="AE8" s="5">
        <f t="shared" si="11"/>
        <v>-6.6228399699474038E-3</v>
      </c>
      <c r="AF8" s="3">
        <f t="shared" si="19"/>
        <v>10.701674411666247</v>
      </c>
      <c r="AG8" s="3">
        <f t="shared" ref="AG8:AG16" si="23">+AG7+AF7*AH7</f>
        <v>18.97819596842492</v>
      </c>
      <c r="AH8" s="2">
        <v>1</v>
      </c>
    </row>
    <row r="9" spans="4:34" x14ac:dyDescent="0.2">
      <c r="D9" s="2">
        <v>4</v>
      </c>
      <c r="E9" s="5">
        <f t="shared" si="20"/>
        <v>1.7889999999999999</v>
      </c>
      <c r="F9" s="2">
        <v>-0.1</v>
      </c>
      <c r="G9" s="3">
        <f t="shared" si="0"/>
        <v>1.7389999999999999</v>
      </c>
      <c r="H9" s="2">
        <f t="shared" si="1"/>
        <v>3.8258000000000001</v>
      </c>
      <c r="I9" s="4">
        <f t="shared" si="2"/>
        <v>1.1762245804798996</v>
      </c>
      <c r="J9" s="4">
        <f t="shared" si="12"/>
        <v>0.28477768565771611</v>
      </c>
      <c r="K9" s="4">
        <f t="shared" si="13"/>
        <v>0.91890166975143506</v>
      </c>
      <c r="L9" s="4">
        <f t="shared" si="3"/>
        <v>5.6779999999999999</v>
      </c>
      <c r="M9" s="4">
        <f t="shared" si="14"/>
        <v>0.91880943994364206</v>
      </c>
      <c r="N9" s="5">
        <f t="shared" si="4"/>
        <v>3.2082902634053686E-4</v>
      </c>
      <c r="O9" s="5">
        <f t="shared" si="5"/>
        <v>9.6791709736594629E-3</v>
      </c>
      <c r="P9" s="3">
        <f t="shared" si="15"/>
        <v>9.4935989068908917</v>
      </c>
      <c r="Q9" s="3">
        <f t="shared" si="21"/>
        <v>-24.086347972974941</v>
      </c>
      <c r="R9" s="2">
        <v>-1</v>
      </c>
      <c r="T9" s="2">
        <v>4</v>
      </c>
      <c r="U9" s="5">
        <f t="shared" si="22"/>
        <v>0.38</v>
      </c>
      <c r="V9" s="2">
        <v>0.01</v>
      </c>
      <c r="W9" s="3">
        <f t="shared" si="6"/>
        <v>0.38500000000000001</v>
      </c>
      <c r="X9" s="2">
        <f t="shared" si="7"/>
        <v>0.84700000000000009</v>
      </c>
      <c r="Y9" s="4">
        <f t="shared" si="8"/>
        <v>5.3128689492325849</v>
      </c>
      <c r="Z9" s="4">
        <f t="shared" si="16"/>
        <v>2.7337842367591287</v>
      </c>
      <c r="AA9" s="4">
        <f t="shared" si="17"/>
        <v>-6.4735762531526921</v>
      </c>
      <c r="AB9" s="4">
        <f t="shared" si="9"/>
        <v>2.97</v>
      </c>
      <c r="AC9" s="4">
        <f t="shared" si="18"/>
        <v>0.3888888888888889</v>
      </c>
      <c r="AD9" s="5">
        <f t="shared" si="10"/>
        <v>1.5465047985723077E-2</v>
      </c>
      <c r="AE9" s="5">
        <f t="shared" si="11"/>
        <v>-5.4650479857230767E-3</v>
      </c>
      <c r="AF9" s="3">
        <f t="shared" si="19"/>
        <v>11.845415209645552</v>
      </c>
      <c r="AG9" s="3">
        <f t="shared" si="23"/>
        <v>29.679870380091167</v>
      </c>
      <c r="AH9" s="2">
        <v>1</v>
      </c>
    </row>
    <row r="10" spans="4:34" x14ac:dyDescent="0.2">
      <c r="D10" s="2">
        <v>5</v>
      </c>
      <c r="E10" s="5">
        <f t="shared" si="20"/>
        <v>1.6889999999999998</v>
      </c>
      <c r="F10" s="2">
        <v>-0.1</v>
      </c>
      <c r="G10" s="3">
        <f t="shared" si="0"/>
        <v>1.6389999999999998</v>
      </c>
      <c r="H10" s="2">
        <f t="shared" si="1"/>
        <v>3.6057999999999999</v>
      </c>
      <c r="I10" s="4">
        <f t="shared" si="2"/>
        <v>1.2479893504908759</v>
      </c>
      <c r="J10" s="4">
        <f t="shared" si="12"/>
        <v>0.31123390293479941</v>
      </c>
      <c r="K10" s="4">
        <f t="shared" si="13"/>
        <v>0.90313345766397191</v>
      </c>
      <c r="L10" s="4">
        <f t="shared" si="3"/>
        <v>5.4779999999999998</v>
      </c>
      <c r="M10" s="4">
        <f t="shared" si="14"/>
        <v>0.89759036144578319</v>
      </c>
      <c r="N10" s="5">
        <f t="shared" si="4"/>
        <v>3.6971083484186321E-4</v>
      </c>
      <c r="O10" s="5">
        <f t="shared" si="5"/>
        <v>9.6302891651581374E-3</v>
      </c>
      <c r="P10" s="3">
        <f t="shared" si="15"/>
        <v>9.3780512939472231</v>
      </c>
      <c r="Q10" s="3">
        <f t="shared" si="21"/>
        <v>-33.57994687986583</v>
      </c>
      <c r="R10" s="2">
        <v>-1</v>
      </c>
      <c r="T10" s="2">
        <v>5</v>
      </c>
      <c r="U10" s="5">
        <f t="shared" si="22"/>
        <v>0.39</v>
      </c>
      <c r="V10" s="2">
        <v>0.01</v>
      </c>
      <c r="W10" s="3">
        <f t="shared" si="6"/>
        <v>0.39500000000000002</v>
      </c>
      <c r="X10" s="2">
        <f t="shared" si="7"/>
        <v>0.86900000000000011</v>
      </c>
      <c r="Y10" s="4">
        <f t="shared" si="8"/>
        <v>5.1783659378596081</v>
      </c>
      <c r="Z10" s="4">
        <f t="shared" si="16"/>
        <v>2.63062949890449</v>
      </c>
      <c r="AA10" s="4">
        <f t="shared" si="17"/>
        <v>-5.9202115605064884</v>
      </c>
      <c r="AB10" s="4">
        <f t="shared" si="9"/>
        <v>2.99</v>
      </c>
      <c r="AC10" s="4">
        <f t="shared" si="18"/>
        <v>0.39632107023411373</v>
      </c>
      <c r="AD10" s="5">
        <f t="shared" si="10"/>
        <v>1.4416402945427573E-2</v>
      </c>
      <c r="AE10" s="5">
        <f t="shared" si="11"/>
        <v>-4.4164029454275729E-3</v>
      </c>
      <c r="AF10" s="3">
        <f t="shared" si="19"/>
        <v>13.405053011831384</v>
      </c>
      <c r="AG10" s="3">
        <f t="shared" si="23"/>
        <v>41.525285589736718</v>
      </c>
      <c r="AH10" s="2">
        <v>1</v>
      </c>
    </row>
    <row r="11" spans="4:34" x14ac:dyDescent="0.2">
      <c r="D11" s="2">
        <v>6</v>
      </c>
      <c r="E11" s="5">
        <f t="shared" si="20"/>
        <v>1.5889999999999997</v>
      </c>
      <c r="F11" s="2">
        <v>-0.1</v>
      </c>
      <c r="G11" s="3">
        <f t="shared" si="0"/>
        <v>1.5389999999999997</v>
      </c>
      <c r="H11" s="2">
        <f t="shared" si="1"/>
        <v>3.3857999999999997</v>
      </c>
      <c r="I11" s="4">
        <f t="shared" si="2"/>
        <v>1.3290802764486975</v>
      </c>
      <c r="J11" s="4">
        <f t="shared" si="12"/>
        <v>0.34205614707456805</v>
      </c>
      <c r="K11" s="4">
        <f t="shared" si="13"/>
        <v>0.88299759224850149</v>
      </c>
      <c r="L11" s="4">
        <f t="shared" si="3"/>
        <v>5.2779999999999996</v>
      </c>
      <c r="M11" s="4">
        <f t="shared" si="14"/>
        <v>0.87476316786661601</v>
      </c>
      <c r="N11" s="5">
        <f t="shared" si="4"/>
        <v>4.3025956864934186E-4</v>
      </c>
      <c r="O11" s="5">
        <f t="shared" si="5"/>
        <v>9.5697404313506585E-3</v>
      </c>
      <c r="P11" s="3">
        <f t="shared" si="15"/>
        <v>9.2269753666022538</v>
      </c>
      <c r="Q11" s="3">
        <f t="shared" si="21"/>
        <v>-42.957998173813053</v>
      </c>
      <c r="R11" s="2">
        <v>-1</v>
      </c>
      <c r="T11" s="2">
        <v>6</v>
      </c>
      <c r="U11" s="5">
        <f t="shared" si="22"/>
        <v>0.4</v>
      </c>
      <c r="V11" s="2">
        <v>0.01</v>
      </c>
      <c r="W11" s="3">
        <f t="shared" si="6"/>
        <v>0.40500000000000003</v>
      </c>
      <c r="X11" s="2">
        <f t="shared" si="7"/>
        <v>0.89100000000000013</v>
      </c>
      <c r="Y11" s="4">
        <f t="shared" si="8"/>
        <v>5.0505050505050502</v>
      </c>
      <c r="Z11" s="4">
        <f t="shared" si="16"/>
        <v>2.5338026991342919</v>
      </c>
      <c r="AA11" s="4">
        <f t="shared" si="17"/>
        <v>-5.4201561181402234</v>
      </c>
      <c r="AB11" s="4">
        <f t="shared" si="9"/>
        <v>3.0100000000000002</v>
      </c>
      <c r="AC11" s="4">
        <f t="shared" si="18"/>
        <v>0.40365448504983387</v>
      </c>
      <c r="AD11" s="5">
        <f t="shared" si="10"/>
        <v>1.3464134365913087E-2</v>
      </c>
      <c r="AE11" s="5">
        <f t="shared" si="11"/>
        <v>-3.4641343659130869E-3</v>
      </c>
      <c r="AF11" s="3">
        <f t="shared" si="19"/>
        <v>15.646495042092752</v>
      </c>
      <c r="AG11" s="3">
        <f t="shared" si="23"/>
        <v>54.930338601568103</v>
      </c>
      <c r="AH11" s="2">
        <v>1</v>
      </c>
    </row>
    <row r="12" spans="4:34" x14ac:dyDescent="0.2">
      <c r="D12" s="2">
        <v>7</v>
      </c>
      <c r="E12" s="5">
        <f t="shared" si="20"/>
        <v>1.4889999999999997</v>
      </c>
      <c r="F12" s="2">
        <v>-0.1</v>
      </c>
      <c r="G12" s="3">
        <f t="shared" si="0"/>
        <v>1.4389999999999996</v>
      </c>
      <c r="H12" s="2">
        <f t="shared" si="1"/>
        <v>3.1657999999999995</v>
      </c>
      <c r="I12" s="4">
        <f t="shared" si="2"/>
        <v>1.4214416577168489</v>
      </c>
      <c r="J12" s="4">
        <f t="shared" si="12"/>
        <v>0.37832421390751059</v>
      </c>
      <c r="K12" s="4">
        <f t="shared" si="13"/>
        <v>0.85687078917126414</v>
      </c>
      <c r="L12" s="4">
        <f t="shared" si="3"/>
        <v>5.0779999999999994</v>
      </c>
      <c r="M12" s="4">
        <f t="shared" si="14"/>
        <v>0.85013784954706551</v>
      </c>
      <c r="N12" s="5">
        <f t="shared" si="4"/>
        <v>5.0639257107183418E-4</v>
      </c>
      <c r="O12" s="5">
        <f t="shared" si="5"/>
        <v>9.4936074289281667E-3</v>
      </c>
      <c r="P12" s="3">
        <f t="shared" si="15"/>
        <v>9.0257659755371336</v>
      </c>
      <c r="Q12" s="3">
        <f t="shared" si="21"/>
        <v>-52.184973540415307</v>
      </c>
      <c r="R12" s="2">
        <v>-1</v>
      </c>
      <c r="T12" s="2">
        <v>7</v>
      </c>
      <c r="U12" s="5">
        <f t="shared" si="22"/>
        <v>0.41000000000000003</v>
      </c>
      <c r="V12" s="2">
        <v>0.01</v>
      </c>
      <c r="W12" s="3">
        <f t="shared" si="6"/>
        <v>0.41500000000000004</v>
      </c>
      <c r="X12" s="2">
        <f t="shared" si="7"/>
        <v>0.91300000000000014</v>
      </c>
      <c r="Y12" s="4">
        <f t="shared" si="8"/>
        <v>4.9288061336254101</v>
      </c>
      <c r="Z12" s="4">
        <f t="shared" si="16"/>
        <v>2.4427734112039667</v>
      </c>
      <c r="AA12" s="4">
        <f t="shared" si="17"/>
        <v>-4.9671419384850637</v>
      </c>
      <c r="AB12" s="4">
        <f t="shared" si="9"/>
        <v>3.0300000000000002</v>
      </c>
      <c r="AC12" s="4">
        <f t="shared" si="18"/>
        <v>0.41089108910891087</v>
      </c>
      <c r="AD12" s="5">
        <f t="shared" si="10"/>
        <v>1.2597238431968147E-2</v>
      </c>
      <c r="AE12" s="5">
        <f t="shared" si="11"/>
        <v>-2.597238431968147E-3</v>
      </c>
      <c r="AF12" s="3">
        <f t="shared" si="19"/>
        <v>19.124705215150541</v>
      </c>
      <c r="AG12" s="3">
        <f t="shared" si="23"/>
        <v>70.576833643660848</v>
      </c>
      <c r="AH12" s="2">
        <v>1</v>
      </c>
    </row>
    <row r="13" spans="4:34" x14ac:dyDescent="0.2">
      <c r="D13" s="2">
        <v>8</v>
      </c>
      <c r="E13" s="5">
        <f t="shared" si="20"/>
        <v>1.3889999999999996</v>
      </c>
      <c r="F13" s="2">
        <v>-0.1</v>
      </c>
      <c r="G13" s="3">
        <f t="shared" si="0"/>
        <v>1.3389999999999995</v>
      </c>
      <c r="H13" s="2">
        <f t="shared" si="1"/>
        <v>2.9457999999999993</v>
      </c>
      <c r="I13" s="4">
        <f t="shared" si="2"/>
        <v>1.527598614977256</v>
      </c>
      <c r="J13" s="4">
        <f t="shared" si="12"/>
        <v>0.42148727135586428</v>
      </c>
      <c r="K13" s="4">
        <f t="shared" si="13"/>
        <v>0.82234848008498806</v>
      </c>
      <c r="L13" s="4">
        <f t="shared" si="3"/>
        <v>4.8779999999999992</v>
      </c>
      <c r="M13" s="4">
        <f t="shared" si="14"/>
        <v>0.82349323493234916</v>
      </c>
      <c r="N13" s="5">
        <f t="shared" si="4"/>
        <v>6.0377771021069961E-4</v>
      </c>
      <c r="O13" s="5">
        <f t="shared" si="5"/>
        <v>9.3962222897893011E-3</v>
      </c>
      <c r="P13" s="3">
        <f t="shared" si="15"/>
        <v>8.7519053373036826</v>
      </c>
      <c r="Q13" s="3">
        <f t="shared" si="21"/>
        <v>-61.21073951595244</v>
      </c>
      <c r="R13" s="2">
        <v>-1</v>
      </c>
      <c r="T13" s="2">
        <v>8</v>
      </c>
      <c r="U13" s="5">
        <f t="shared" si="22"/>
        <v>0.42000000000000004</v>
      </c>
      <c r="V13" s="2">
        <v>0.01</v>
      </c>
      <c r="W13" s="3">
        <f t="shared" si="6"/>
        <v>0.42500000000000004</v>
      </c>
      <c r="X13" s="2">
        <f t="shared" si="7"/>
        <v>0.93500000000000016</v>
      </c>
      <c r="Y13" s="4">
        <f t="shared" si="8"/>
        <v>4.8128342245989293</v>
      </c>
      <c r="Z13" s="4">
        <f t="shared" si="16"/>
        <v>2.3570670358150538</v>
      </c>
      <c r="AA13" s="4">
        <f t="shared" si="17"/>
        <v>-4.5557650113259642</v>
      </c>
      <c r="AB13" s="4">
        <f t="shared" si="9"/>
        <v>3.0500000000000003</v>
      </c>
      <c r="AC13" s="4">
        <f t="shared" si="18"/>
        <v>0.41803278688524592</v>
      </c>
      <c r="AD13" s="5">
        <f t="shared" si="10"/>
        <v>1.1806197941859269E-2</v>
      </c>
      <c r="AE13" s="5">
        <f t="shared" si="11"/>
        <v>-1.8061979418592684E-3</v>
      </c>
      <c r="AF13" s="3">
        <f t="shared" si="19"/>
        <v>25.222955390129279</v>
      </c>
      <c r="AG13" s="3">
        <f t="shared" si="23"/>
        <v>89.701538858811389</v>
      </c>
      <c r="AH13" s="2">
        <v>1</v>
      </c>
    </row>
    <row r="14" spans="4:34" x14ac:dyDescent="0.2">
      <c r="D14" s="2">
        <v>9</v>
      </c>
      <c r="E14" s="5">
        <f t="shared" si="20"/>
        <v>1.2889999999999995</v>
      </c>
      <c r="F14" s="2">
        <v>-0.123</v>
      </c>
      <c r="G14" s="3">
        <f t="shared" si="0"/>
        <v>1.2274999999999996</v>
      </c>
      <c r="H14" s="2">
        <f t="shared" si="1"/>
        <v>2.7004999999999995</v>
      </c>
      <c r="I14" s="4">
        <f t="shared" si="2"/>
        <v>1.6663580818366972</v>
      </c>
      <c r="J14" s="4">
        <f t="shared" si="12"/>
        <v>0.4802010198443421</v>
      </c>
      <c r="K14" s="4">
        <f t="shared" si="13"/>
        <v>0.76940698054045376</v>
      </c>
      <c r="L14" s="4">
        <f t="shared" si="3"/>
        <v>4.6549999999999994</v>
      </c>
      <c r="M14" s="4">
        <f t="shared" si="14"/>
        <v>0.79108485499462933</v>
      </c>
      <c r="N14" s="5">
        <f t="shared" si="4"/>
        <v>7.4788047299580119E-4</v>
      </c>
      <c r="O14" s="5">
        <f t="shared" si="5"/>
        <v>9.2521195270041986E-3</v>
      </c>
      <c r="P14" s="3">
        <f t="shared" si="15"/>
        <v>10.228689580831531</v>
      </c>
      <c r="Q14" s="3">
        <f t="shared" si="21"/>
        <v>-69.962644853256123</v>
      </c>
      <c r="R14" s="2">
        <v>-1</v>
      </c>
      <c r="T14" s="2">
        <v>9</v>
      </c>
      <c r="U14" s="5">
        <f t="shared" si="22"/>
        <v>0.43000000000000005</v>
      </c>
      <c r="V14" s="2">
        <v>1.7999999999999999E-2</v>
      </c>
      <c r="W14" s="3">
        <f t="shared" si="6"/>
        <v>0.43900000000000006</v>
      </c>
      <c r="X14" s="2">
        <f t="shared" si="7"/>
        <v>0.96580000000000021</v>
      </c>
      <c r="Y14" s="4">
        <f t="shared" si="8"/>
        <v>4.6593497618554558</v>
      </c>
      <c r="Z14" s="4">
        <f t="shared" si="16"/>
        <v>2.2452181736157382</v>
      </c>
      <c r="AA14" s="4">
        <f t="shared" si="17"/>
        <v>-4.0410046471343906</v>
      </c>
      <c r="AB14" s="4">
        <f t="shared" si="9"/>
        <v>3.0780000000000003</v>
      </c>
      <c r="AC14" s="4">
        <f t="shared" si="18"/>
        <v>0.42787524366471735</v>
      </c>
      <c r="AD14" s="5">
        <f t="shared" si="10"/>
        <v>1.08106564418366E-2</v>
      </c>
      <c r="AE14" s="5">
        <f t="shared" si="11"/>
        <v>-8.1065644183660017E-4</v>
      </c>
      <c r="AF14" s="3">
        <f t="shared" si="19"/>
        <v>89.727386220019042</v>
      </c>
      <c r="AG14" s="3">
        <f t="shared" si="23"/>
        <v>114.92449424894068</v>
      </c>
      <c r="AH14" s="2">
        <v>1</v>
      </c>
    </row>
    <row r="15" spans="4:34" x14ac:dyDescent="0.2">
      <c r="D15" s="2">
        <v>10</v>
      </c>
      <c r="E15" s="5">
        <f t="shared" si="20"/>
        <v>1.1659999999999995</v>
      </c>
      <c r="Q15" s="3">
        <f t="shared" si="21"/>
        <v>-80.191334434087651</v>
      </c>
      <c r="T15" s="2">
        <v>10</v>
      </c>
      <c r="U15" s="5">
        <f t="shared" si="22"/>
        <v>0.44800000000000006</v>
      </c>
      <c r="V15" s="2">
        <v>3.8E-3</v>
      </c>
      <c r="W15" s="3">
        <f t="shared" si="6"/>
        <v>0.44990000000000008</v>
      </c>
      <c r="X15" s="2">
        <f t="shared" si="7"/>
        <v>0.98978000000000022</v>
      </c>
      <c r="Y15" s="4">
        <f t="shared" si="8"/>
        <v>4.5464648709814295</v>
      </c>
      <c r="Z15" s="4">
        <f t="shared" ref="Z15" si="24">+Y15/SQRT(9.81*W15)</f>
        <v>2.164120004358618</v>
      </c>
      <c r="AA15" s="4">
        <f t="shared" si="17"/>
        <v>-3.683415393265145</v>
      </c>
      <c r="AB15" s="4">
        <f t="shared" si="9"/>
        <v>3.0998000000000001</v>
      </c>
      <c r="AC15" s="4">
        <f t="shared" ref="AC15" si="25">+(W15*3)/AB15</f>
        <v>0.43541518807665019</v>
      </c>
      <c r="AD15" s="5">
        <f t="shared" si="10"/>
        <v>1.0114925899402319E-2</v>
      </c>
      <c r="AE15" s="5">
        <f t="shared" si="11"/>
        <v>-1.1492589940231834E-4</v>
      </c>
      <c r="AF15" s="3">
        <f t="shared" si="19"/>
        <v>121.79133308679765</v>
      </c>
      <c r="AG15" s="3">
        <f t="shared" si="23"/>
        <v>204.65188046895972</v>
      </c>
      <c r="AH15" s="2">
        <v>1</v>
      </c>
    </row>
    <row r="16" spans="4:34" x14ac:dyDescent="0.2">
      <c r="U16" s="5">
        <f t="shared" si="22"/>
        <v>0.45180000000000009</v>
      </c>
      <c r="AG16" s="3">
        <f t="shared" si="23"/>
        <v>326.44321355575738</v>
      </c>
    </row>
    <row r="19" spans="4:17" x14ac:dyDescent="0.2">
      <c r="E19" s="10" t="s">
        <v>35</v>
      </c>
      <c r="F19" s="10"/>
    </row>
    <row r="20" spans="4:17" x14ac:dyDescent="0.2">
      <c r="E20" s="2" t="s">
        <v>11</v>
      </c>
      <c r="F20" s="4">
        <v>0.01</v>
      </c>
    </row>
    <row r="21" spans="4:17" x14ac:dyDescent="0.2">
      <c r="E21" s="2" t="s">
        <v>13</v>
      </c>
      <c r="F21" s="2">
        <v>4.5</v>
      </c>
    </row>
    <row r="22" spans="4:17" x14ac:dyDescent="0.2">
      <c r="E22" s="2" t="s">
        <v>14</v>
      </c>
      <c r="F22" s="2">
        <v>2.2000000000000002</v>
      </c>
    </row>
    <row r="23" spans="4:17" x14ac:dyDescent="0.2">
      <c r="E23" s="2" t="s">
        <v>22</v>
      </c>
      <c r="F23" s="2">
        <v>1.5</v>
      </c>
    </row>
    <row r="24" spans="4:17" x14ac:dyDescent="0.2">
      <c r="E24" s="2" t="s">
        <v>32</v>
      </c>
      <c r="F24" s="4">
        <v>0.45179999999999998</v>
      </c>
    </row>
    <row r="25" spans="4:17" x14ac:dyDescent="0.2">
      <c r="E25" s="2" t="s">
        <v>31</v>
      </c>
      <c r="F25" s="4">
        <v>0.75260000000000005</v>
      </c>
    </row>
    <row r="26" spans="4:17" x14ac:dyDescent="0.2">
      <c r="E26" s="2" t="s">
        <v>30</v>
      </c>
      <c r="F26" s="4">
        <v>2.0390000000000001</v>
      </c>
    </row>
    <row r="27" spans="4:17" x14ac:dyDescent="0.2">
      <c r="E27" s="2" t="s">
        <v>29</v>
      </c>
      <c r="F27" s="2">
        <v>80</v>
      </c>
    </row>
    <row r="28" spans="4:17" x14ac:dyDescent="0.2">
      <c r="E28" s="2" t="s">
        <v>33</v>
      </c>
      <c r="F28" s="2">
        <v>0.35</v>
      </c>
    </row>
    <row r="30" spans="4:17" x14ac:dyDescent="0.2">
      <c r="D30" s="7" t="s">
        <v>0</v>
      </c>
      <c r="E30" s="7" t="s">
        <v>10</v>
      </c>
      <c r="F30" s="7" t="s">
        <v>1</v>
      </c>
      <c r="G30" s="7" t="s">
        <v>2</v>
      </c>
      <c r="H30" s="7" t="s">
        <v>15</v>
      </c>
      <c r="I30" s="7" t="s">
        <v>3</v>
      </c>
      <c r="J30" s="7" t="s">
        <v>4</v>
      </c>
      <c r="K30" s="7" t="s">
        <v>5</v>
      </c>
      <c r="L30" s="7" t="s">
        <v>16</v>
      </c>
      <c r="M30" s="7" t="s">
        <v>6</v>
      </c>
      <c r="N30" s="7" t="s">
        <v>17</v>
      </c>
      <c r="O30" s="7" t="s">
        <v>7</v>
      </c>
      <c r="P30" s="7" t="s">
        <v>8</v>
      </c>
      <c r="Q30" s="7" t="s">
        <v>9</v>
      </c>
    </row>
    <row r="31" spans="4:17" x14ac:dyDescent="0.2">
      <c r="D31" s="7">
        <v>1</v>
      </c>
      <c r="E31" s="7">
        <v>2.0390000000000001</v>
      </c>
      <c r="F31" s="7">
        <v>0.05</v>
      </c>
      <c r="G31" s="7">
        <v>2.0140000000000002</v>
      </c>
      <c r="H31" s="7">
        <v>4.4308000000000005</v>
      </c>
      <c r="I31" s="7">
        <v>1.0156179470975895</v>
      </c>
      <c r="J31" s="7">
        <v>0.22848943824899931</v>
      </c>
      <c r="K31" s="7">
        <v>0.94779257660865679</v>
      </c>
      <c r="L31" s="7">
        <v>6.2280000000000006</v>
      </c>
      <c r="M31" s="7">
        <v>0.97013487475915228</v>
      </c>
      <c r="N31" s="7">
        <v>2.2654121026742993E-4</v>
      </c>
      <c r="O31" s="7">
        <v>9.7734587897325698E-3</v>
      </c>
      <c r="P31" s="7">
        <v>-4.8488083748015232</v>
      </c>
      <c r="Q31" s="7"/>
    </row>
    <row r="32" spans="4:17" x14ac:dyDescent="0.2">
      <c r="D32" s="7">
        <v>2</v>
      </c>
      <c r="E32" s="7">
        <v>1.9890000000000001</v>
      </c>
      <c r="F32" s="7">
        <v>0.1</v>
      </c>
      <c r="G32" s="7">
        <v>1.9390000000000001</v>
      </c>
      <c r="H32" s="7">
        <v>4.2658000000000005</v>
      </c>
      <c r="I32" s="7">
        <v>1.0549017769234375</v>
      </c>
      <c r="J32" s="7">
        <v>0.2418736818890139</v>
      </c>
      <c r="K32" s="7">
        <v>0.94149712200945213</v>
      </c>
      <c r="L32" s="7">
        <v>6.0780000000000003</v>
      </c>
      <c r="M32" s="7">
        <v>0.95705824284304042</v>
      </c>
      <c r="N32" s="7">
        <v>2.4774464706707781E-4</v>
      </c>
      <c r="O32" s="7">
        <v>9.7522553529329221E-3</v>
      </c>
      <c r="P32" s="7">
        <v>-9.6541475580446487</v>
      </c>
      <c r="Q32" s="7">
        <v>-4.8488083748015232</v>
      </c>
    </row>
    <row r="33" spans="4:17" x14ac:dyDescent="0.2">
      <c r="D33" s="7">
        <v>3</v>
      </c>
      <c r="E33" s="7">
        <v>1.889</v>
      </c>
      <c r="F33" s="7">
        <v>0.1</v>
      </c>
      <c r="G33" s="7">
        <v>1.839</v>
      </c>
      <c r="H33" s="7">
        <v>4.0457999999999998</v>
      </c>
      <c r="I33" s="7">
        <v>1.1122645706658758</v>
      </c>
      <c r="J33" s="7">
        <v>0.26186818335044049</v>
      </c>
      <c r="K33" s="7">
        <v>0.93142505454874014</v>
      </c>
      <c r="L33" s="7">
        <v>5.8780000000000001</v>
      </c>
      <c r="M33" s="7">
        <v>0.93858455256890083</v>
      </c>
      <c r="N33" s="7">
        <v>2.8084157834134795E-4</v>
      </c>
      <c r="O33" s="7">
        <v>9.7191584216586527E-3</v>
      </c>
      <c r="P33" s="7">
        <v>-9.5833920401287678</v>
      </c>
      <c r="Q33" s="7">
        <v>-14.502955932846172</v>
      </c>
    </row>
    <row r="34" spans="4:17" x14ac:dyDescent="0.2">
      <c r="D34" s="7">
        <v>4</v>
      </c>
      <c r="E34" s="7">
        <v>1.7889999999999999</v>
      </c>
      <c r="F34" s="7">
        <v>0.1</v>
      </c>
      <c r="G34" s="7">
        <v>1.7389999999999999</v>
      </c>
      <c r="H34" s="7">
        <v>3.8258000000000001</v>
      </c>
      <c r="I34" s="7">
        <v>1.1762245804798996</v>
      </c>
      <c r="J34" s="7">
        <v>0.28477768565771611</v>
      </c>
      <c r="K34" s="7">
        <v>0.91890166975143506</v>
      </c>
      <c r="L34" s="7">
        <v>5.6779999999999999</v>
      </c>
      <c r="M34" s="7">
        <v>0.91880943994364206</v>
      </c>
      <c r="N34" s="7">
        <v>3.2082902634053686E-4</v>
      </c>
      <c r="O34" s="7">
        <v>9.6791709736594629E-3</v>
      </c>
      <c r="P34" s="7">
        <v>-9.4935989068908917</v>
      </c>
      <c r="Q34" s="7">
        <v>-24.086347972974941</v>
      </c>
    </row>
    <row r="35" spans="4:17" x14ac:dyDescent="0.2">
      <c r="D35" s="7">
        <v>5</v>
      </c>
      <c r="E35" s="7">
        <v>1.6889999999999998</v>
      </c>
      <c r="F35" s="7">
        <v>0.1</v>
      </c>
      <c r="G35" s="7">
        <v>1.6389999999999998</v>
      </c>
      <c r="H35" s="7">
        <v>3.6057999999999999</v>
      </c>
      <c r="I35" s="7">
        <v>1.2479893504908759</v>
      </c>
      <c r="J35" s="7">
        <v>0.31123390293479941</v>
      </c>
      <c r="K35" s="7">
        <v>0.90313345766397191</v>
      </c>
      <c r="L35" s="7">
        <v>5.4779999999999998</v>
      </c>
      <c r="M35" s="7">
        <v>0.89759036144578319</v>
      </c>
      <c r="N35" s="7">
        <v>3.6971083484186321E-4</v>
      </c>
      <c r="O35" s="7">
        <v>9.6302891651581374E-3</v>
      </c>
      <c r="P35" s="7">
        <v>-9.3780512939472231</v>
      </c>
      <c r="Q35" s="7">
        <v>-33.57994687986583</v>
      </c>
    </row>
    <row r="36" spans="4:17" x14ac:dyDescent="0.2">
      <c r="D36" s="7">
        <v>6</v>
      </c>
      <c r="E36" s="7">
        <v>1.5889999999999997</v>
      </c>
      <c r="F36" s="7">
        <v>0.1</v>
      </c>
      <c r="G36" s="7">
        <v>1.5389999999999997</v>
      </c>
      <c r="H36" s="7">
        <v>3.3857999999999997</v>
      </c>
      <c r="I36" s="7">
        <v>1.3290802764486975</v>
      </c>
      <c r="J36" s="7">
        <v>0.34205614707456805</v>
      </c>
      <c r="K36" s="7">
        <v>0.88299759224850149</v>
      </c>
      <c r="L36" s="7">
        <v>5.2779999999999996</v>
      </c>
      <c r="M36" s="7">
        <v>0.87476316786661601</v>
      </c>
      <c r="N36" s="7">
        <v>4.3025956864934186E-4</v>
      </c>
      <c r="O36" s="7">
        <v>9.5697404313506585E-3</v>
      </c>
      <c r="P36" s="7">
        <v>-9.2269753666022538</v>
      </c>
      <c r="Q36" s="7">
        <v>-42.957998173813053</v>
      </c>
    </row>
    <row r="37" spans="4:17" x14ac:dyDescent="0.2">
      <c r="D37" s="7">
        <v>7</v>
      </c>
      <c r="E37" s="7">
        <v>1.4889999999999997</v>
      </c>
      <c r="F37" s="7">
        <v>0.1</v>
      </c>
      <c r="G37" s="7">
        <v>1.4389999999999996</v>
      </c>
      <c r="H37" s="7">
        <v>3.1657999999999995</v>
      </c>
      <c r="I37" s="7">
        <v>1.4214416577168489</v>
      </c>
      <c r="J37" s="7">
        <v>0.37832421390751059</v>
      </c>
      <c r="K37" s="7">
        <v>0.85687078917126414</v>
      </c>
      <c r="L37" s="7">
        <v>5.0779999999999994</v>
      </c>
      <c r="M37" s="7">
        <v>0.85013784954706551</v>
      </c>
      <c r="N37" s="7">
        <v>5.0639257107183418E-4</v>
      </c>
      <c r="O37" s="7">
        <v>9.4936074289281667E-3</v>
      </c>
      <c r="P37" s="7">
        <v>-9.0257659755371336</v>
      </c>
      <c r="Q37" s="7">
        <v>-52.184973540415307</v>
      </c>
    </row>
    <row r="38" spans="4:17" x14ac:dyDescent="0.2">
      <c r="D38" s="7">
        <v>8</v>
      </c>
      <c r="E38" s="7">
        <v>1.3889999999999996</v>
      </c>
      <c r="F38" s="7">
        <v>0.1</v>
      </c>
      <c r="G38" s="7">
        <v>1.3389999999999995</v>
      </c>
      <c r="H38" s="7">
        <v>2.9457999999999993</v>
      </c>
      <c r="I38" s="7">
        <v>1.527598614977256</v>
      </c>
      <c r="J38" s="7">
        <v>0.42148727135586428</v>
      </c>
      <c r="K38" s="7">
        <v>0.82234848008498806</v>
      </c>
      <c r="L38" s="7">
        <v>4.8779999999999992</v>
      </c>
      <c r="M38" s="7">
        <v>0.82349323493234916</v>
      </c>
      <c r="N38" s="7">
        <v>6.0377771021069961E-4</v>
      </c>
      <c r="O38" s="7">
        <v>9.3962222897893011E-3</v>
      </c>
      <c r="P38" s="7">
        <v>-8.7519053373036826</v>
      </c>
      <c r="Q38" s="7">
        <v>-61.21073951595244</v>
      </c>
    </row>
    <row r="39" spans="4:17" x14ac:dyDescent="0.2">
      <c r="D39" s="7">
        <v>9</v>
      </c>
      <c r="E39" s="7">
        <v>1.2889999999999995</v>
      </c>
      <c r="F39" s="7">
        <v>0.123</v>
      </c>
      <c r="G39" s="7">
        <v>1.2274999999999996</v>
      </c>
      <c r="H39" s="7">
        <v>2.7004999999999995</v>
      </c>
      <c r="I39" s="7">
        <v>1.6663580818366972</v>
      </c>
      <c r="J39" s="7">
        <v>0.4802010198443421</v>
      </c>
      <c r="K39" s="7">
        <v>0.76940698054045376</v>
      </c>
      <c r="L39" s="7">
        <v>4.6549999999999994</v>
      </c>
      <c r="M39" s="7">
        <v>0.79108485499462933</v>
      </c>
      <c r="N39" s="7">
        <v>7.4788047299580119E-4</v>
      </c>
      <c r="O39" s="7">
        <v>9.2521195270041986E-3</v>
      </c>
      <c r="P39" s="7">
        <v>-10.228689580831531</v>
      </c>
      <c r="Q39" s="7">
        <v>-69.962644853256123</v>
      </c>
    </row>
    <row r="40" spans="4:17" x14ac:dyDescent="0.2">
      <c r="D40" s="7">
        <v>10</v>
      </c>
      <c r="E40" s="7">
        <v>1.1659999999999995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>
        <v>-80.191334434087651</v>
      </c>
    </row>
  </sheetData>
  <mergeCells count="3">
    <mergeCell ref="D4:Q4"/>
    <mergeCell ref="T4:AG4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Gotelli</dc:creator>
  <cp:lastModifiedBy>Clemente Gotelli</cp:lastModifiedBy>
  <dcterms:created xsi:type="dcterms:W3CDTF">2025-11-03T14:13:33Z</dcterms:created>
  <dcterms:modified xsi:type="dcterms:W3CDTF">2025-11-21T10:50:00Z</dcterms:modified>
</cp:coreProperties>
</file>